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C:\Users\Francisco Funcia\Dropbox\FUNCIA FR\Atividade_Profissional\cns\COFIN 2020\RAG 2019\ENVIAR COMISSÕES\enviar\"/>
    </mc:Choice>
  </mc:AlternateContent>
  <xr:revisionPtr revIDLastSave="0" documentId="8_{35DA25AC-AA15-4C4E-8D90-969E63F68F23}" xr6:coauthVersionLast="45" xr6:coauthVersionMax="45" xr10:uidLastSave="{00000000-0000-0000-0000-000000000000}"/>
  <bookViews>
    <workbookView showHorizontalScroll="0" showVerticalScroll="0" showSheetTabs="0" xWindow="200" yWindow="140" windowWidth="18440" windowHeight="10110" activeTab="1" xr2:uid="{00000000-000D-0000-FFFF-FFFF00000000}"/>
  </bookViews>
  <sheets>
    <sheet name="Planilha3" sheetId="4" r:id="rId1"/>
    <sheet name="Planilha1" sheetId="1" r:id="rId2"/>
    <sheet name="Painel" sheetId="2" r:id="rId3"/>
    <sheet name="Planilha2" sheetId="3" r:id="rId4"/>
  </sheets>
  <definedNames>
    <definedName name="_xlnm.Print_Area" localSheetId="2">Painel!$A$1:$J$174</definedName>
    <definedName name="_xlnm.Print_Titles" localSheetId="2">Painel!$1:$1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295" i="1" l="1"/>
  <c r="L295" i="1"/>
  <c r="K295" i="1"/>
  <c r="N292" i="1"/>
  <c r="L292" i="1"/>
  <c r="K292" i="1"/>
  <c r="N275" i="1"/>
  <c r="L275" i="1"/>
  <c r="K275" i="1"/>
  <c r="N249" i="1"/>
  <c r="L249" i="1"/>
  <c r="K249" i="1"/>
  <c r="N246" i="1"/>
  <c r="L246" i="1"/>
  <c r="K246" i="1"/>
  <c r="N234" i="1"/>
  <c r="L234" i="1"/>
  <c r="N202" i="1"/>
  <c r="L202" i="1"/>
  <c r="K202" i="1"/>
  <c r="N185" i="1"/>
  <c r="L185" i="1"/>
  <c r="K185" i="1"/>
  <c r="K170" i="1"/>
  <c r="L170" i="1"/>
  <c r="N143" i="1"/>
  <c r="L143" i="1"/>
  <c r="K143" i="1"/>
  <c r="N142" i="1"/>
  <c r="L142" i="1"/>
  <c r="K142" i="1"/>
  <c r="N141" i="1"/>
  <c r="L141" i="1"/>
  <c r="K141" i="1"/>
  <c r="N140" i="1"/>
  <c r="L140" i="1"/>
  <c r="K140" i="1"/>
  <c r="L137" i="1"/>
  <c r="L136" i="1"/>
  <c r="N113" i="1"/>
  <c r="K113" i="1"/>
  <c r="N31" i="1"/>
  <c r="L21" i="1"/>
  <c r="K21" i="1"/>
  <c r="L16" i="1"/>
  <c r="K16" i="1"/>
  <c r="L15" i="1"/>
  <c r="K15" i="1"/>
  <c r="O11" i="3"/>
  <c r="M11" i="3"/>
  <c r="H11" i="3"/>
  <c r="I11" i="3"/>
  <c r="D11" i="3"/>
  <c r="H156" i="2"/>
  <c r="G156" i="2"/>
  <c r="F156" i="2"/>
  <c r="E156" i="2"/>
  <c r="D156" i="2"/>
  <c r="C156" i="2"/>
  <c r="H150" i="2"/>
  <c r="G150" i="2"/>
  <c r="F150" i="2"/>
  <c r="E150" i="2"/>
  <c r="D150" i="2"/>
  <c r="C150" i="2"/>
  <c r="C152" i="2"/>
  <c r="E158" i="2"/>
  <c r="E152" i="2"/>
  <c r="A152" i="2"/>
  <c r="A150" i="2"/>
  <c r="G151" i="2"/>
  <c r="A156" i="2"/>
  <c r="G157" i="2"/>
  <c r="C158" i="2"/>
  <c r="A158" i="2"/>
  <c r="J136" i="2"/>
  <c r="I136" i="2"/>
  <c r="H136" i="2"/>
  <c r="G136" i="2"/>
  <c r="F136" i="2"/>
  <c r="E136" i="2"/>
  <c r="D136" i="2"/>
  <c r="C136" i="2"/>
  <c r="B136" i="2"/>
  <c r="A136" i="2"/>
  <c r="E151" i="2"/>
  <c r="H157" i="2"/>
  <c r="C151" i="2"/>
  <c r="H151" i="2"/>
  <c r="F151" i="2"/>
  <c r="D151" i="2"/>
  <c r="F157" i="2"/>
  <c r="E157" i="2"/>
  <c r="C157" i="2"/>
  <c r="D157" i="2"/>
  <c r="B137" i="2"/>
  <c r="F138" i="2"/>
  <c r="D137" i="2"/>
  <c r="E138" i="2"/>
  <c r="C137" i="2"/>
  <c r="G138" i="2"/>
  <c r="H139" i="2"/>
  <c r="I139" i="2"/>
  <c r="J139" i="2"/>
  <c r="N263" i="1"/>
  <c r="K263" i="1"/>
  <c r="L263" i="1"/>
  <c r="N260" i="1"/>
  <c r="K260" i="1"/>
  <c r="L260" i="1"/>
  <c r="N250" i="1"/>
  <c r="K250" i="1"/>
  <c r="L250" i="1"/>
  <c r="N248" i="1"/>
  <c r="K248" i="1"/>
  <c r="L248" i="1"/>
  <c r="K247" i="1"/>
  <c r="L247" i="1"/>
  <c r="N245" i="1"/>
  <c r="K245" i="1"/>
  <c r="L245" i="1"/>
  <c r="N223" i="1"/>
  <c r="N222" i="1"/>
  <c r="K222" i="1"/>
  <c r="L222" i="1"/>
  <c r="N207" i="1"/>
  <c r="N206" i="1"/>
  <c r="K206" i="1"/>
  <c r="L206" i="1"/>
  <c r="N205" i="1"/>
  <c r="K205" i="1"/>
  <c r="L205" i="1"/>
  <c r="N204" i="1"/>
  <c r="K204" i="1"/>
  <c r="L204" i="1"/>
  <c r="K203" i="1"/>
  <c r="L203" i="1"/>
  <c r="N201" i="1"/>
  <c r="K201" i="1"/>
  <c r="L201" i="1"/>
  <c r="N200" i="1"/>
  <c r="K200" i="1"/>
  <c r="L200" i="1"/>
  <c r="N184" i="1"/>
  <c r="N173" i="1"/>
  <c r="K173" i="1"/>
  <c r="L173" i="1"/>
  <c r="N172" i="1"/>
  <c r="K172" i="1"/>
  <c r="L172" i="1"/>
  <c r="N171" i="1"/>
  <c r="K171" i="1"/>
  <c r="L171" i="1"/>
  <c r="N170" i="1"/>
  <c r="N144" i="1"/>
  <c r="K144" i="1"/>
  <c r="L144" i="1"/>
  <c r="N139" i="1"/>
  <c r="K139" i="1"/>
  <c r="L139" i="1"/>
  <c r="N133" i="1"/>
  <c r="K133" i="1"/>
  <c r="L133" i="1"/>
  <c r="N130" i="1"/>
  <c r="K130" i="1"/>
  <c r="L130" i="1"/>
  <c r="L113" i="1"/>
  <c r="N112" i="1"/>
  <c r="K112" i="1"/>
  <c r="L112" i="1"/>
  <c r="N111" i="1"/>
  <c r="K111" i="1"/>
  <c r="L111" i="1"/>
  <c r="K83" i="1"/>
  <c r="L83" i="1"/>
  <c r="N82" i="1"/>
  <c r="K82" i="1"/>
  <c r="L82" i="1"/>
  <c r="N81" i="1"/>
  <c r="K81" i="1"/>
  <c r="L81" i="1"/>
  <c r="N80" i="1"/>
  <c r="K80" i="1"/>
  <c r="L80" i="1"/>
  <c r="N79" i="1"/>
  <c r="K79" i="1"/>
  <c r="L79" i="1"/>
  <c r="N78" i="1"/>
  <c r="K78" i="1"/>
  <c r="L78" i="1"/>
  <c r="N77" i="1"/>
  <c r="K77" i="1"/>
  <c r="L77" i="1"/>
  <c r="N76" i="1"/>
  <c r="K76" i="1"/>
  <c r="L76" i="1"/>
  <c r="N75" i="1"/>
  <c r="K75" i="1"/>
  <c r="L75" i="1"/>
  <c r="N74" i="1"/>
  <c r="K74" i="1"/>
  <c r="L74" i="1"/>
  <c r="N73" i="1"/>
  <c r="K73" i="1"/>
  <c r="L73" i="1"/>
  <c r="N72" i="1"/>
  <c r="K72" i="1"/>
  <c r="L72" i="1"/>
  <c r="N71" i="1"/>
  <c r="K71" i="1"/>
  <c r="L71" i="1"/>
  <c r="N70" i="1"/>
  <c r="K70" i="1"/>
  <c r="L70" i="1"/>
  <c r="N69" i="1"/>
  <c r="K69" i="1"/>
  <c r="L69" i="1"/>
  <c r="N68" i="1"/>
  <c r="K68" i="1"/>
  <c r="L68" i="1"/>
  <c r="N67" i="1"/>
  <c r="K67" i="1"/>
  <c r="L67" i="1"/>
  <c r="N66" i="1"/>
  <c r="K66" i="1"/>
  <c r="L66" i="1"/>
  <c r="N65" i="1"/>
  <c r="K65" i="1"/>
  <c r="L65" i="1"/>
  <c r="N64" i="1"/>
  <c r="K64" i="1"/>
  <c r="L64" i="1"/>
  <c r="N63" i="1"/>
  <c r="K63" i="1"/>
  <c r="L63" i="1"/>
  <c r="N62" i="1"/>
  <c r="K62" i="1"/>
  <c r="L62" i="1"/>
  <c r="N61" i="1"/>
  <c r="K61" i="1"/>
  <c r="L61" i="1"/>
  <c r="N60" i="1"/>
  <c r="K60" i="1"/>
  <c r="L60" i="1"/>
  <c r="N59" i="1"/>
  <c r="K59" i="1"/>
  <c r="L59" i="1"/>
  <c r="K31" i="1"/>
  <c r="L31" i="1"/>
  <c r="N30" i="1"/>
  <c r="K30" i="1"/>
  <c r="L30" i="1"/>
  <c r="N29" i="1"/>
  <c r="K29" i="1"/>
  <c r="L29" i="1"/>
  <c r="N27" i="1"/>
  <c r="K27" i="1"/>
  <c r="L27" i="1"/>
  <c r="N26" i="1"/>
  <c r="K26" i="1"/>
  <c r="L26" i="1"/>
  <c r="N25" i="1"/>
  <c r="K25" i="1"/>
  <c r="L25" i="1"/>
  <c r="N24" i="1"/>
  <c r="L24" i="1"/>
  <c r="N23" i="1"/>
  <c r="L23" i="1"/>
  <c r="K23" i="1"/>
  <c r="N21" i="1"/>
  <c r="N20" i="1"/>
  <c r="K20" i="1"/>
  <c r="L20" i="1"/>
  <c r="L19" i="1"/>
  <c r="N18" i="1"/>
  <c r="K18" i="1"/>
  <c r="L18" i="1"/>
  <c r="N17" i="1"/>
  <c r="K17" i="1"/>
  <c r="L17" i="1"/>
  <c r="N16" i="1"/>
  <c r="N15" i="1"/>
  <c r="N14" i="1"/>
  <c r="K14" i="1"/>
  <c r="L14" i="1"/>
  <c r="N13" i="1"/>
  <c r="K13" i="1"/>
  <c r="L13" i="1"/>
  <c r="N12" i="1"/>
  <c r="K12" i="1"/>
  <c r="L12" i="1"/>
  <c r="A151" i="2"/>
  <c r="A157" i="2"/>
  <c r="A137" i="2"/>
  <c r="B138" i="2"/>
  <c r="C139"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Usuário</author>
  </authors>
  <commentList>
    <comment ref="B3" authorId="0" shapeId="0" xr:uid="{00000000-0006-0000-0100-000001000000}">
      <text>
        <r>
          <rPr>
            <b/>
            <sz val="9"/>
            <color indexed="81"/>
            <rFont val="Tahoma"/>
            <family val="2"/>
          </rPr>
          <t>Usuário:</t>
        </r>
        <r>
          <rPr>
            <sz val="9"/>
            <color indexed="81"/>
            <rFont val="Tahoma"/>
            <family val="2"/>
          </rPr>
          <t xml:space="preserve">
VERDE</t>
        </r>
      </text>
    </comment>
    <comment ref="C3" authorId="0" shapeId="0" xr:uid="{00000000-0006-0000-0100-000002000000}">
      <text>
        <r>
          <rPr>
            <b/>
            <sz val="9"/>
            <color indexed="81"/>
            <rFont val="Tahoma"/>
            <family val="2"/>
          </rPr>
          <t>Usuário:</t>
        </r>
        <r>
          <rPr>
            <sz val="9"/>
            <color indexed="81"/>
            <rFont val="Tahoma"/>
            <family val="2"/>
          </rPr>
          <t xml:space="preserve">
TELHA</t>
        </r>
      </text>
    </comment>
    <comment ref="D3" authorId="0" shapeId="0" xr:uid="{00000000-0006-0000-0100-000003000000}">
      <text>
        <r>
          <rPr>
            <b/>
            <sz val="9"/>
            <color indexed="81"/>
            <rFont val="Tahoma"/>
            <family val="2"/>
          </rPr>
          <t>Usuário:</t>
        </r>
        <r>
          <rPr>
            <sz val="9"/>
            <color indexed="81"/>
            <rFont val="Tahoma"/>
            <family val="2"/>
          </rPr>
          <t xml:space="preserve">
LARANJA</t>
        </r>
      </text>
    </comment>
    <comment ref="E3" authorId="0" shapeId="0" xr:uid="{00000000-0006-0000-0100-000004000000}">
      <text>
        <r>
          <rPr>
            <b/>
            <sz val="9"/>
            <color indexed="81"/>
            <rFont val="Tahoma"/>
            <family val="2"/>
          </rPr>
          <t>Usuário:</t>
        </r>
        <r>
          <rPr>
            <sz val="9"/>
            <color indexed="81"/>
            <rFont val="Tahoma"/>
            <family val="2"/>
          </rPr>
          <t xml:space="preserve">
VERDE COM VERDE</t>
        </r>
      </text>
    </comment>
    <comment ref="F3" authorId="0" shapeId="0" xr:uid="{00000000-0006-0000-0100-000005000000}">
      <text>
        <r>
          <rPr>
            <b/>
            <sz val="9"/>
            <color indexed="81"/>
            <rFont val="Tahoma"/>
            <family val="2"/>
          </rPr>
          <t>Usuário:</t>
        </r>
        <r>
          <rPr>
            <sz val="9"/>
            <color indexed="81"/>
            <rFont val="Tahoma"/>
            <family val="2"/>
          </rPr>
          <t xml:space="preserve">
VERDE COM TELHA</t>
        </r>
      </text>
    </comment>
    <comment ref="G3" authorId="0" shapeId="0" xr:uid="{00000000-0006-0000-0100-000006000000}">
      <text>
        <r>
          <rPr>
            <b/>
            <sz val="9"/>
            <color indexed="81"/>
            <rFont val="Tahoma"/>
            <family val="2"/>
          </rPr>
          <t>Usuário:</t>
        </r>
        <r>
          <rPr>
            <sz val="9"/>
            <color indexed="81"/>
            <rFont val="Tahoma"/>
            <family val="2"/>
          </rPr>
          <t xml:space="preserve">
VERDE COM CINZA</t>
        </r>
      </text>
    </comment>
    <comment ref="H3" authorId="0" shapeId="0" xr:uid="{00000000-0006-0000-0100-000007000000}">
      <text>
        <r>
          <rPr>
            <b/>
            <sz val="9"/>
            <color indexed="81"/>
            <rFont val="Tahoma"/>
            <family val="2"/>
          </rPr>
          <t>Usuário:</t>
        </r>
        <r>
          <rPr>
            <sz val="9"/>
            <color indexed="81"/>
            <rFont val="Tahoma"/>
            <family val="2"/>
          </rPr>
          <t xml:space="preserve">
TELHA COM VERDE</t>
        </r>
      </text>
    </comment>
    <comment ref="I3" authorId="0" shapeId="0" xr:uid="{00000000-0006-0000-0100-000008000000}">
      <text>
        <r>
          <rPr>
            <b/>
            <sz val="9"/>
            <color indexed="81"/>
            <rFont val="Tahoma"/>
            <family val="2"/>
          </rPr>
          <t>Usuário:</t>
        </r>
        <r>
          <rPr>
            <sz val="9"/>
            <color indexed="81"/>
            <rFont val="Tahoma"/>
            <family val="2"/>
          </rPr>
          <t xml:space="preserve">
TELHA COM TELHA</t>
        </r>
      </text>
    </comment>
    <comment ref="J3" authorId="0" shapeId="0" xr:uid="{00000000-0006-0000-0100-000009000000}">
      <text>
        <r>
          <rPr>
            <b/>
            <sz val="9"/>
            <color indexed="81"/>
            <rFont val="Tahoma"/>
            <family val="2"/>
          </rPr>
          <t>Usuário:</t>
        </r>
        <r>
          <rPr>
            <sz val="9"/>
            <color indexed="81"/>
            <rFont val="Tahoma"/>
            <family val="2"/>
          </rPr>
          <t xml:space="preserve">
TELHA COM CINZA</t>
        </r>
      </text>
    </comment>
    <comment ref="B13" authorId="0" shapeId="0" xr:uid="{00000000-0006-0000-0100-00000A000000}">
      <text>
        <r>
          <rPr>
            <b/>
            <sz val="9"/>
            <color indexed="81"/>
            <rFont val="Tahoma"/>
            <family val="2"/>
          </rPr>
          <t>Usuário:</t>
        </r>
        <r>
          <rPr>
            <sz val="9"/>
            <color indexed="81"/>
            <rFont val="Tahoma"/>
            <family val="2"/>
          </rPr>
          <t xml:space="preserve">
VERDE</t>
        </r>
      </text>
    </comment>
    <comment ref="C13" authorId="0" shapeId="0" xr:uid="{00000000-0006-0000-0100-00000B000000}">
      <text>
        <r>
          <rPr>
            <b/>
            <sz val="9"/>
            <color indexed="81"/>
            <rFont val="Tahoma"/>
            <family val="2"/>
          </rPr>
          <t>Usuário:</t>
        </r>
        <r>
          <rPr>
            <sz val="9"/>
            <color indexed="81"/>
            <rFont val="Tahoma"/>
            <family val="2"/>
          </rPr>
          <t xml:space="preserve">
TELHA</t>
        </r>
      </text>
    </comment>
    <comment ref="D13" authorId="0" shapeId="0" xr:uid="{00000000-0006-0000-0100-00000C000000}">
      <text>
        <r>
          <rPr>
            <b/>
            <sz val="9"/>
            <color indexed="81"/>
            <rFont val="Tahoma"/>
            <family val="2"/>
          </rPr>
          <t>Usuário:</t>
        </r>
        <r>
          <rPr>
            <sz val="9"/>
            <color indexed="81"/>
            <rFont val="Tahoma"/>
            <family val="2"/>
          </rPr>
          <t xml:space="preserve">
LARANJA</t>
        </r>
      </text>
    </comment>
    <comment ref="E13" authorId="0" shapeId="0" xr:uid="{00000000-0006-0000-0100-00000D000000}">
      <text>
        <r>
          <rPr>
            <b/>
            <sz val="9"/>
            <color indexed="81"/>
            <rFont val="Tahoma"/>
            <family val="2"/>
          </rPr>
          <t>Usuário:</t>
        </r>
        <r>
          <rPr>
            <sz val="9"/>
            <color indexed="81"/>
            <rFont val="Tahoma"/>
            <family val="2"/>
          </rPr>
          <t xml:space="preserve">
VERDE COM VERDE</t>
        </r>
      </text>
    </comment>
    <comment ref="F13" authorId="0" shapeId="0" xr:uid="{00000000-0006-0000-0100-00000E000000}">
      <text>
        <r>
          <rPr>
            <b/>
            <sz val="9"/>
            <color indexed="81"/>
            <rFont val="Tahoma"/>
            <family val="2"/>
          </rPr>
          <t>Usuário:</t>
        </r>
        <r>
          <rPr>
            <sz val="9"/>
            <color indexed="81"/>
            <rFont val="Tahoma"/>
            <family val="2"/>
          </rPr>
          <t xml:space="preserve">
VERDE COM TELHA</t>
        </r>
      </text>
    </comment>
    <comment ref="G13" authorId="0" shapeId="0" xr:uid="{00000000-0006-0000-0100-00000F000000}">
      <text>
        <r>
          <rPr>
            <b/>
            <sz val="9"/>
            <color indexed="81"/>
            <rFont val="Tahoma"/>
            <family val="2"/>
          </rPr>
          <t>Usuário:</t>
        </r>
        <r>
          <rPr>
            <sz val="9"/>
            <color indexed="81"/>
            <rFont val="Tahoma"/>
            <family val="2"/>
          </rPr>
          <t xml:space="preserve">
VERDE COM CINZA</t>
        </r>
      </text>
    </comment>
    <comment ref="H13" authorId="0" shapeId="0" xr:uid="{00000000-0006-0000-0100-000010000000}">
      <text>
        <r>
          <rPr>
            <b/>
            <sz val="9"/>
            <color indexed="81"/>
            <rFont val="Tahoma"/>
            <family val="2"/>
          </rPr>
          <t>Usuário:</t>
        </r>
        <r>
          <rPr>
            <sz val="9"/>
            <color indexed="81"/>
            <rFont val="Tahoma"/>
            <family val="2"/>
          </rPr>
          <t xml:space="preserve">
TELHA COM VERDE</t>
        </r>
      </text>
    </comment>
    <comment ref="I13" authorId="0" shapeId="0" xr:uid="{00000000-0006-0000-0100-000011000000}">
      <text>
        <r>
          <rPr>
            <b/>
            <sz val="9"/>
            <color indexed="81"/>
            <rFont val="Tahoma"/>
            <family val="2"/>
          </rPr>
          <t>Usuário:</t>
        </r>
        <r>
          <rPr>
            <sz val="9"/>
            <color indexed="81"/>
            <rFont val="Tahoma"/>
            <family val="2"/>
          </rPr>
          <t xml:space="preserve">
TELHA COM TELHA</t>
        </r>
      </text>
    </comment>
    <comment ref="J13" authorId="0" shapeId="0" xr:uid="{00000000-0006-0000-0100-000012000000}">
      <text>
        <r>
          <rPr>
            <b/>
            <sz val="9"/>
            <color indexed="81"/>
            <rFont val="Tahoma"/>
            <family val="2"/>
          </rPr>
          <t>Usuário:</t>
        </r>
        <r>
          <rPr>
            <sz val="9"/>
            <color indexed="81"/>
            <rFont val="Tahoma"/>
            <family val="2"/>
          </rPr>
          <t xml:space="preserve">
TELHA COM CINZA</t>
        </r>
      </text>
    </comment>
    <comment ref="B23" authorId="0" shapeId="0" xr:uid="{00000000-0006-0000-0100-000013000000}">
      <text>
        <r>
          <rPr>
            <b/>
            <sz val="9"/>
            <color indexed="81"/>
            <rFont val="Tahoma"/>
            <family val="2"/>
          </rPr>
          <t>Usuário:</t>
        </r>
        <r>
          <rPr>
            <sz val="9"/>
            <color indexed="81"/>
            <rFont val="Tahoma"/>
            <family val="2"/>
          </rPr>
          <t xml:space="preserve">
VERDE</t>
        </r>
      </text>
    </comment>
    <comment ref="C23" authorId="0" shapeId="0" xr:uid="{00000000-0006-0000-0100-000014000000}">
      <text>
        <r>
          <rPr>
            <b/>
            <sz val="9"/>
            <color indexed="81"/>
            <rFont val="Tahoma"/>
            <family val="2"/>
          </rPr>
          <t>Usuário:</t>
        </r>
        <r>
          <rPr>
            <sz val="9"/>
            <color indexed="81"/>
            <rFont val="Tahoma"/>
            <family val="2"/>
          </rPr>
          <t xml:space="preserve">
TELHA</t>
        </r>
      </text>
    </comment>
    <comment ref="D23" authorId="0" shapeId="0" xr:uid="{00000000-0006-0000-0100-000015000000}">
      <text>
        <r>
          <rPr>
            <b/>
            <sz val="9"/>
            <color indexed="81"/>
            <rFont val="Tahoma"/>
            <family val="2"/>
          </rPr>
          <t>Usuário:</t>
        </r>
        <r>
          <rPr>
            <sz val="9"/>
            <color indexed="81"/>
            <rFont val="Tahoma"/>
            <family val="2"/>
          </rPr>
          <t xml:space="preserve">
LARANJA</t>
        </r>
      </text>
    </comment>
    <comment ref="E23" authorId="0" shapeId="0" xr:uid="{00000000-0006-0000-0100-000016000000}">
      <text>
        <r>
          <rPr>
            <b/>
            <sz val="9"/>
            <color indexed="81"/>
            <rFont val="Tahoma"/>
            <family val="2"/>
          </rPr>
          <t>Usuário:</t>
        </r>
        <r>
          <rPr>
            <sz val="9"/>
            <color indexed="81"/>
            <rFont val="Tahoma"/>
            <family val="2"/>
          </rPr>
          <t xml:space="preserve">
VERDE COM VERDE</t>
        </r>
      </text>
    </comment>
    <comment ref="F23" authorId="0" shapeId="0" xr:uid="{00000000-0006-0000-0100-000017000000}">
      <text>
        <r>
          <rPr>
            <b/>
            <sz val="9"/>
            <color indexed="81"/>
            <rFont val="Tahoma"/>
            <family val="2"/>
          </rPr>
          <t>Usuário:</t>
        </r>
        <r>
          <rPr>
            <sz val="9"/>
            <color indexed="81"/>
            <rFont val="Tahoma"/>
            <family val="2"/>
          </rPr>
          <t xml:space="preserve">
VERDE COM TELHA</t>
        </r>
      </text>
    </comment>
    <comment ref="G23" authorId="0" shapeId="0" xr:uid="{00000000-0006-0000-0100-000018000000}">
      <text>
        <r>
          <rPr>
            <b/>
            <sz val="9"/>
            <color indexed="81"/>
            <rFont val="Tahoma"/>
            <family val="2"/>
          </rPr>
          <t>Usuário:</t>
        </r>
        <r>
          <rPr>
            <sz val="9"/>
            <color indexed="81"/>
            <rFont val="Tahoma"/>
            <family val="2"/>
          </rPr>
          <t xml:space="preserve">
VERDE COM CINZA</t>
        </r>
      </text>
    </comment>
    <comment ref="H23" authorId="0" shapeId="0" xr:uid="{00000000-0006-0000-0100-000019000000}">
      <text>
        <r>
          <rPr>
            <b/>
            <sz val="9"/>
            <color indexed="81"/>
            <rFont val="Tahoma"/>
            <family val="2"/>
          </rPr>
          <t>Usuário:</t>
        </r>
        <r>
          <rPr>
            <sz val="9"/>
            <color indexed="81"/>
            <rFont val="Tahoma"/>
            <family val="2"/>
          </rPr>
          <t xml:space="preserve">
TELHA COM VERDE</t>
        </r>
      </text>
    </comment>
    <comment ref="I23" authorId="0" shapeId="0" xr:uid="{00000000-0006-0000-0100-00001A000000}">
      <text>
        <r>
          <rPr>
            <b/>
            <sz val="9"/>
            <color indexed="81"/>
            <rFont val="Tahoma"/>
            <family val="2"/>
          </rPr>
          <t>Usuário:</t>
        </r>
        <r>
          <rPr>
            <sz val="9"/>
            <color indexed="81"/>
            <rFont val="Tahoma"/>
            <family val="2"/>
          </rPr>
          <t xml:space="preserve">
TELHA COM TELHA</t>
        </r>
      </text>
    </comment>
    <comment ref="J23" authorId="0" shapeId="0" xr:uid="{00000000-0006-0000-0100-00001B000000}">
      <text>
        <r>
          <rPr>
            <b/>
            <sz val="9"/>
            <color indexed="81"/>
            <rFont val="Tahoma"/>
            <family val="2"/>
          </rPr>
          <t>Usuário:</t>
        </r>
        <r>
          <rPr>
            <sz val="9"/>
            <color indexed="81"/>
            <rFont val="Tahoma"/>
            <family val="2"/>
          </rPr>
          <t xml:space="preserve">
TELHA COM CINZA</t>
        </r>
      </text>
    </comment>
    <comment ref="B33" authorId="0" shapeId="0" xr:uid="{00000000-0006-0000-0100-00001C000000}">
      <text>
        <r>
          <rPr>
            <b/>
            <sz val="9"/>
            <color indexed="81"/>
            <rFont val="Tahoma"/>
            <family val="2"/>
          </rPr>
          <t>Usuário:</t>
        </r>
        <r>
          <rPr>
            <sz val="9"/>
            <color indexed="81"/>
            <rFont val="Tahoma"/>
            <family val="2"/>
          </rPr>
          <t xml:space="preserve">
VERDE</t>
        </r>
      </text>
    </comment>
    <comment ref="C33" authorId="0" shapeId="0" xr:uid="{00000000-0006-0000-0100-00001D000000}">
      <text>
        <r>
          <rPr>
            <b/>
            <sz val="9"/>
            <color indexed="81"/>
            <rFont val="Tahoma"/>
            <family val="2"/>
          </rPr>
          <t>Usuário:</t>
        </r>
        <r>
          <rPr>
            <sz val="9"/>
            <color indexed="81"/>
            <rFont val="Tahoma"/>
            <family val="2"/>
          </rPr>
          <t xml:space="preserve">
TELHA</t>
        </r>
      </text>
    </comment>
    <comment ref="D33" authorId="0" shapeId="0" xr:uid="{00000000-0006-0000-0100-00001E000000}">
      <text>
        <r>
          <rPr>
            <b/>
            <sz val="9"/>
            <color indexed="81"/>
            <rFont val="Tahoma"/>
            <family val="2"/>
          </rPr>
          <t>Usuário:</t>
        </r>
        <r>
          <rPr>
            <sz val="9"/>
            <color indexed="81"/>
            <rFont val="Tahoma"/>
            <family val="2"/>
          </rPr>
          <t xml:space="preserve">
LARANJA</t>
        </r>
      </text>
    </comment>
    <comment ref="E33" authorId="0" shapeId="0" xr:uid="{00000000-0006-0000-0100-00001F000000}">
      <text>
        <r>
          <rPr>
            <b/>
            <sz val="9"/>
            <color indexed="81"/>
            <rFont val="Tahoma"/>
            <family val="2"/>
          </rPr>
          <t>Usuário:</t>
        </r>
        <r>
          <rPr>
            <sz val="9"/>
            <color indexed="81"/>
            <rFont val="Tahoma"/>
            <family val="2"/>
          </rPr>
          <t xml:space="preserve">
VERDE COM VERDE</t>
        </r>
      </text>
    </comment>
    <comment ref="F33" authorId="0" shapeId="0" xr:uid="{00000000-0006-0000-0100-000020000000}">
      <text>
        <r>
          <rPr>
            <b/>
            <sz val="9"/>
            <color indexed="81"/>
            <rFont val="Tahoma"/>
            <family val="2"/>
          </rPr>
          <t>Usuário:</t>
        </r>
        <r>
          <rPr>
            <sz val="9"/>
            <color indexed="81"/>
            <rFont val="Tahoma"/>
            <family val="2"/>
          </rPr>
          <t xml:space="preserve">
VERDE COM TELHA</t>
        </r>
      </text>
    </comment>
    <comment ref="G33" authorId="0" shapeId="0" xr:uid="{00000000-0006-0000-0100-000021000000}">
      <text>
        <r>
          <rPr>
            <b/>
            <sz val="9"/>
            <color indexed="81"/>
            <rFont val="Tahoma"/>
            <family val="2"/>
          </rPr>
          <t>Usuário:</t>
        </r>
        <r>
          <rPr>
            <sz val="9"/>
            <color indexed="81"/>
            <rFont val="Tahoma"/>
            <family val="2"/>
          </rPr>
          <t xml:space="preserve">
VERDE COM CINZA</t>
        </r>
      </text>
    </comment>
    <comment ref="H33" authorId="0" shapeId="0" xr:uid="{00000000-0006-0000-0100-000022000000}">
      <text>
        <r>
          <rPr>
            <b/>
            <sz val="9"/>
            <color indexed="81"/>
            <rFont val="Tahoma"/>
            <family val="2"/>
          </rPr>
          <t>Usuário:</t>
        </r>
        <r>
          <rPr>
            <sz val="9"/>
            <color indexed="81"/>
            <rFont val="Tahoma"/>
            <family val="2"/>
          </rPr>
          <t xml:space="preserve">
TELHA COM VERDE</t>
        </r>
      </text>
    </comment>
    <comment ref="I33" authorId="0" shapeId="0" xr:uid="{00000000-0006-0000-0100-000023000000}">
      <text>
        <r>
          <rPr>
            <b/>
            <sz val="9"/>
            <color indexed="81"/>
            <rFont val="Tahoma"/>
            <family val="2"/>
          </rPr>
          <t>Usuário:</t>
        </r>
        <r>
          <rPr>
            <sz val="9"/>
            <color indexed="81"/>
            <rFont val="Tahoma"/>
            <family val="2"/>
          </rPr>
          <t xml:space="preserve">
TELHA COM TELHA</t>
        </r>
      </text>
    </comment>
    <comment ref="J33" authorId="0" shapeId="0" xr:uid="{00000000-0006-0000-0100-000024000000}">
      <text>
        <r>
          <rPr>
            <b/>
            <sz val="9"/>
            <color indexed="81"/>
            <rFont val="Tahoma"/>
            <family val="2"/>
          </rPr>
          <t>Usuário:</t>
        </r>
        <r>
          <rPr>
            <sz val="9"/>
            <color indexed="81"/>
            <rFont val="Tahoma"/>
            <family val="2"/>
          </rPr>
          <t xml:space="preserve">
TELHA COM CINZA</t>
        </r>
      </text>
    </comment>
    <comment ref="B43" authorId="0" shapeId="0" xr:uid="{00000000-0006-0000-0100-000025000000}">
      <text>
        <r>
          <rPr>
            <b/>
            <sz val="9"/>
            <color indexed="81"/>
            <rFont val="Tahoma"/>
            <family val="2"/>
          </rPr>
          <t>Usuário:</t>
        </r>
        <r>
          <rPr>
            <sz val="9"/>
            <color indexed="81"/>
            <rFont val="Tahoma"/>
            <family val="2"/>
          </rPr>
          <t xml:space="preserve">
VERDE</t>
        </r>
      </text>
    </comment>
    <comment ref="C43" authorId="0" shapeId="0" xr:uid="{00000000-0006-0000-0100-000026000000}">
      <text>
        <r>
          <rPr>
            <b/>
            <sz val="9"/>
            <color indexed="81"/>
            <rFont val="Tahoma"/>
            <family val="2"/>
          </rPr>
          <t>Usuário:</t>
        </r>
        <r>
          <rPr>
            <sz val="9"/>
            <color indexed="81"/>
            <rFont val="Tahoma"/>
            <family val="2"/>
          </rPr>
          <t xml:space="preserve">
TELHA</t>
        </r>
      </text>
    </comment>
    <comment ref="D43" authorId="0" shapeId="0" xr:uid="{00000000-0006-0000-0100-000027000000}">
      <text>
        <r>
          <rPr>
            <b/>
            <sz val="9"/>
            <color indexed="81"/>
            <rFont val="Tahoma"/>
            <family val="2"/>
          </rPr>
          <t>Usuário:</t>
        </r>
        <r>
          <rPr>
            <sz val="9"/>
            <color indexed="81"/>
            <rFont val="Tahoma"/>
            <family val="2"/>
          </rPr>
          <t xml:space="preserve">
LARANJA</t>
        </r>
      </text>
    </comment>
    <comment ref="E43" authorId="0" shapeId="0" xr:uid="{00000000-0006-0000-0100-000028000000}">
      <text>
        <r>
          <rPr>
            <b/>
            <sz val="9"/>
            <color indexed="81"/>
            <rFont val="Tahoma"/>
            <family val="2"/>
          </rPr>
          <t>Usuário:</t>
        </r>
        <r>
          <rPr>
            <sz val="9"/>
            <color indexed="81"/>
            <rFont val="Tahoma"/>
            <family val="2"/>
          </rPr>
          <t xml:space="preserve">
VERDE COM VERDE</t>
        </r>
      </text>
    </comment>
    <comment ref="F43" authorId="0" shapeId="0" xr:uid="{00000000-0006-0000-0100-000029000000}">
      <text>
        <r>
          <rPr>
            <b/>
            <sz val="9"/>
            <color indexed="81"/>
            <rFont val="Tahoma"/>
            <family val="2"/>
          </rPr>
          <t>Usuário:</t>
        </r>
        <r>
          <rPr>
            <sz val="9"/>
            <color indexed="81"/>
            <rFont val="Tahoma"/>
            <family val="2"/>
          </rPr>
          <t xml:space="preserve">
VERDE COM TELHA</t>
        </r>
      </text>
    </comment>
    <comment ref="G43" authorId="0" shapeId="0" xr:uid="{00000000-0006-0000-0100-00002A000000}">
      <text>
        <r>
          <rPr>
            <b/>
            <sz val="9"/>
            <color indexed="81"/>
            <rFont val="Tahoma"/>
            <family val="2"/>
          </rPr>
          <t>Usuário:</t>
        </r>
        <r>
          <rPr>
            <sz val="9"/>
            <color indexed="81"/>
            <rFont val="Tahoma"/>
            <family val="2"/>
          </rPr>
          <t xml:space="preserve">
VERDE COM CINZA</t>
        </r>
      </text>
    </comment>
    <comment ref="H43" authorId="0" shapeId="0" xr:uid="{00000000-0006-0000-0100-00002B000000}">
      <text>
        <r>
          <rPr>
            <b/>
            <sz val="9"/>
            <color indexed="81"/>
            <rFont val="Tahoma"/>
            <family val="2"/>
          </rPr>
          <t>Usuário:</t>
        </r>
        <r>
          <rPr>
            <sz val="9"/>
            <color indexed="81"/>
            <rFont val="Tahoma"/>
            <family val="2"/>
          </rPr>
          <t xml:space="preserve">
TELHA COM VERDE</t>
        </r>
      </text>
    </comment>
    <comment ref="I43" authorId="0" shapeId="0" xr:uid="{00000000-0006-0000-0100-00002C000000}">
      <text>
        <r>
          <rPr>
            <b/>
            <sz val="9"/>
            <color indexed="81"/>
            <rFont val="Tahoma"/>
            <family val="2"/>
          </rPr>
          <t>Usuário:</t>
        </r>
        <r>
          <rPr>
            <sz val="9"/>
            <color indexed="81"/>
            <rFont val="Tahoma"/>
            <family val="2"/>
          </rPr>
          <t xml:space="preserve">
TELHA COM TELHA</t>
        </r>
      </text>
    </comment>
    <comment ref="J43" authorId="0" shapeId="0" xr:uid="{00000000-0006-0000-0100-00002D000000}">
      <text>
        <r>
          <rPr>
            <b/>
            <sz val="9"/>
            <color indexed="81"/>
            <rFont val="Tahoma"/>
            <family val="2"/>
          </rPr>
          <t>Usuário:</t>
        </r>
        <r>
          <rPr>
            <sz val="9"/>
            <color indexed="81"/>
            <rFont val="Tahoma"/>
            <family val="2"/>
          </rPr>
          <t xml:space="preserve">
TELHA COM CINZA</t>
        </r>
      </text>
    </comment>
    <comment ref="B53" authorId="0" shapeId="0" xr:uid="{00000000-0006-0000-0100-00002E000000}">
      <text>
        <r>
          <rPr>
            <b/>
            <sz val="9"/>
            <color indexed="81"/>
            <rFont val="Tahoma"/>
            <family val="2"/>
          </rPr>
          <t>Usuário:</t>
        </r>
        <r>
          <rPr>
            <sz val="9"/>
            <color indexed="81"/>
            <rFont val="Tahoma"/>
            <family val="2"/>
          </rPr>
          <t xml:space="preserve">
VERDE</t>
        </r>
      </text>
    </comment>
    <comment ref="C53" authorId="0" shapeId="0" xr:uid="{00000000-0006-0000-0100-00002F000000}">
      <text>
        <r>
          <rPr>
            <b/>
            <sz val="9"/>
            <color indexed="81"/>
            <rFont val="Tahoma"/>
            <family val="2"/>
          </rPr>
          <t>Usuário:</t>
        </r>
        <r>
          <rPr>
            <sz val="9"/>
            <color indexed="81"/>
            <rFont val="Tahoma"/>
            <family val="2"/>
          </rPr>
          <t xml:space="preserve">
TELHA</t>
        </r>
      </text>
    </comment>
    <comment ref="D53" authorId="0" shapeId="0" xr:uid="{00000000-0006-0000-0100-000030000000}">
      <text>
        <r>
          <rPr>
            <b/>
            <sz val="9"/>
            <color indexed="81"/>
            <rFont val="Tahoma"/>
            <family val="2"/>
          </rPr>
          <t>Usuário:</t>
        </r>
        <r>
          <rPr>
            <sz val="9"/>
            <color indexed="81"/>
            <rFont val="Tahoma"/>
            <family val="2"/>
          </rPr>
          <t xml:space="preserve">
LARANJA</t>
        </r>
      </text>
    </comment>
    <comment ref="E53" authorId="0" shapeId="0" xr:uid="{00000000-0006-0000-0100-000031000000}">
      <text>
        <r>
          <rPr>
            <b/>
            <sz val="9"/>
            <color indexed="81"/>
            <rFont val="Tahoma"/>
            <family val="2"/>
          </rPr>
          <t>Usuário:</t>
        </r>
        <r>
          <rPr>
            <sz val="9"/>
            <color indexed="81"/>
            <rFont val="Tahoma"/>
            <family val="2"/>
          </rPr>
          <t xml:space="preserve">
VERDE COM VERDE</t>
        </r>
      </text>
    </comment>
    <comment ref="F53" authorId="0" shapeId="0" xr:uid="{00000000-0006-0000-0100-000032000000}">
      <text>
        <r>
          <rPr>
            <b/>
            <sz val="9"/>
            <color indexed="81"/>
            <rFont val="Tahoma"/>
            <family val="2"/>
          </rPr>
          <t>Usuário:</t>
        </r>
        <r>
          <rPr>
            <sz val="9"/>
            <color indexed="81"/>
            <rFont val="Tahoma"/>
            <family val="2"/>
          </rPr>
          <t xml:space="preserve">
VERDE COM TELHA</t>
        </r>
      </text>
    </comment>
    <comment ref="G53" authorId="0" shapeId="0" xr:uid="{00000000-0006-0000-0100-000033000000}">
      <text>
        <r>
          <rPr>
            <b/>
            <sz val="9"/>
            <color indexed="81"/>
            <rFont val="Tahoma"/>
            <family val="2"/>
          </rPr>
          <t>Usuário:</t>
        </r>
        <r>
          <rPr>
            <sz val="9"/>
            <color indexed="81"/>
            <rFont val="Tahoma"/>
            <family val="2"/>
          </rPr>
          <t xml:space="preserve">
VERDE COM CINZA</t>
        </r>
      </text>
    </comment>
    <comment ref="H53" authorId="0" shapeId="0" xr:uid="{00000000-0006-0000-0100-000034000000}">
      <text>
        <r>
          <rPr>
            <b/>
            <sz val="9"/>
            <color indexed="81"/>
            <rFont val="Tahoma"/>
            <family val="2"/>
          </rPr>
          <t>Usuário:</t>
        </r>
        <r>
          <rPr>
            <sz val="9"/>
            <color indexed="81"/>
            <rFont val="Tahoma"/>
            <family val="2"/>
          </rPr>
          <t xml:space="preserve">
TELHA COM VERDE</t>
        </r>
      </text>
    </comment>
    <comment ref="I53" authorId="0" shapeId="0" xr:uid="{00000000-0006-0000-0100-000035000000}">
      <text>
        <r>
          <rPr>
            <b/>
            <sz val="9"/>
            <color indexed="81"/>
            <rFont val="Tahoma"/>
            <family val="2"/>
          </rPr>
          <t>Usuário:</t>
        </r>
        <r>
          <rPr>
            <sz val="9"/>
            <color indexed="81"/>
            <rFont val="Tahoma"/>
            <family val="2"/>
          </rPr>
          <t xml:space="preserve">
TELHA COM TELHA</t>
        </r>
      </text>
    </comment>
    <comment ref="J53" authorId="0" shapeId="0" xr:uid="{00000000-0006-0000-0100-000036000000}">
      <text>
        <r>
          <rPr>
            <b/>
            <sz val="9"/>
            <color indexed="81"/>
            <rFont val="Tahoma"/>
            <family val="2"/>
          </rPr>
          <t>Usuário:</t>
        </r>
        <r>
          <rPr>
            <sz val="9"/>
            <color indexed="81"/>
            <rFont val="Tahoma"/>
            <family val="2"/>
          </rPr>
          <t xml:space="preserve">
TELHA COM CINZA</t>
        </r>
      </text>
    </comment>
    <comment ref="B63" authorId="0" shapeId="0" xr:uid="{00000000-0006-0000-0100-000037000000}">
      <text>
        <r>
          <rPr>
            <b/>
            <sz val="9"/>
            <color indexed="81"/>
            <rFont val="Tahoma"/>
            <family val="2"/>
          </rPr>
          <t>Usuário:</t>
        </r>
        <r>
          <rPr>
            <sz val="9"/>
            <color indexed="81"/>
            <rFont val="Tahoma"/>
            <family val="2"/>
          </rPr>
          <t xml:space="preserve">
VERDE</t>
        </r>
      </text>
    </comment>
    <comment ref="C63" authorId="0" shapeId="0" xr:uid="{00000000-0006-0000-0100-000038000000}">
      <text>
        <r>
          <rPr>
            <b/>
            <sz val="9"/>
            <color indexed="81"/>
            <rFont val="Tahoma"/>
            <family val="2"/>
          </rPr>
          <t>Usuário:</t>
        </r>
        <r>
          <rPr>
            <sz val="9"/>
            <color indexed="81"/>
            <rFont val="Tahoma"/>
            <family val="2"/>
          </rPr>
          <t xml:space="preserve">
TELHA</t>
        </r>
      </text>
    </comment>
    <comment ref="D63" authorId="0" shapeId="0" xr:uid="{00000000-0006-0000-0100-000039000000}">
      <text>
        <r>
          <rPr>
            <b/>
            <sz val="9"/>
            <color indexed="81"/>
            <rFont val="Tahoma"/>
            <family val="2"/>
          </rPr>
          <t>Usuário:</t>
        </r>
        <r>
          <rPr>
            <sz val="9"/>
            <color indexed="81"/>
            <rFont val="Tahoma"/>
            <family val="2"/>
          </rPr>
          <t xml:space="preserve">
LARANJA</t>
        </r>
      </text>
    </comment>
    <comment ref="E63" authorId="0" shapeId="0" xr:uid="{00000000-0006-0000-0100-00003A000000}">
      <text>
        <r>
          <rPr>
            <b/>
            <sz val="9"/>
            <color indexed="81"/>
            <rFont val="Tahoma"/>
            <family val="2"/>
          </rPr>
          <t>Usuário:</t>
        </r>
        <r>
          <rPr>
            <sz val="9"/>
            <color indexed="81"/>
            <rFont val="Tahoma"/>
            <family val="2"/>
          </rPr>
          <t xml:space="preserve">
VERDE COM VERDE</t>
        </r>
      </text>
    </comment>
    <comment ref="F63" authorId="0" shapeId="0" xr:uid="{00000000-0006-0000-0100-00003B000000}">
      <text>
        <r>
          <rPr>
            <b/>
            <sz val="9"/>
            <color indexed="81"/>
            <rFont val="Tahoma"/>
            <family val="2"/>
          </rPr>
          <t>Usuário:</t>
        </r>
        <r>
          <rPr>
            <sz val="9"/>
            <color indexed="81"/>
            <rFont val="Tahoma"/>
            <family val="2"/>
          </rPr>
          <t xml:space="preserve">
VERDE COM TELHA</t>
        </r>
      </text>
    </comment>
    <comment ref="G63" authorId="0" shapeId="0" xr:uid="{00000000-0006-0000-0100-00003C000000}">
      <text>
        <r>
          <rPr>
            <b/>
            <sz val="9"/>
            <color indexed="81"/>
            <rFont val="Tahoma"/>
            <family val="2"/>
          </rPr>
          <t>Usuário:</t>
        </r>
        <r>
          <rPr>
            <sz val="9"/>
            <color indexed="81"/>
            <rFont val="Tahoma"/>
            <family val="2"/>
          </rPr>
          <t xml:space="preserve">
VERDE COM CINZA</t>
        </r>
      </text>
    </comment>
    <comment ref="H63" authorId="0" shapeId="0" xr:uid="{00000000-0006-0000-0100-00003D000000}">
      <text>
        <r>
          <rPr>
            <b/>
            <sz val="9"/>
            <color indexed="81"/>
            <rFont val="Tahoma"/>
            <family val="2"/>
          </rPr>
          <t>Usuário:</t>
        </r>
        <r>
          <rPr>
            <sz val="9"/>
            <color indexed="81"/>
            <rFont val="Tahoma"/>
            <family val="2"/>
          </rPr>
          <t xml:space="preserve">
TELHA COM VERDE</t>
        </r>
      </text>
    </comment>
    <comment ref="I63" authorId="0" shapeId="0" xr:uid="{00000000-0006-0000-0100-00003E000000}">
      <text>
        <r>
          <rPr>
            <b/>
            <sz val="9"/>
            <color indexed="81"/>
            <rFont val="Tahoma"/>
            <family val="2"/>
          </rPr>
          <t>Usuário:</t>
        </r>
        <r>
          <rPr>
            <sz val="9"/>
            <color indexed="81"/>
            <rFont val="Tahoma"/>
            <family val="2"/>
          </rPr>
          <t xml:space="preserve">
TELHA COM TELHA</t>
        </r>
      </text>
    </comment>
    <comment ref="J63" authorId="0" shapeId="0" xr:uid="{00000000-0006-0000-0100-00003F000000}">
      <text>
        <r>
          <rPr>
            <b/>
            <sz val="9"/>
            <color indexed="81"/>
            <rFont val="Tahoma"/>
            <family val="2"/>
          </rPr>
          <t>Usuário:</t>
        </r>
        <r>
          <rPr>
            <sz val="9"/>
            <color indexed="81"/>
            <rFont val="Tahoma"/>
            <family val="2"/>
          </rPr>
          <t xml:space="preserve">
TELHA COM CINZA</t>
        </r>
      </text>
    </comment>
    <comment ref="B73" authorId="0" shapeId="0" xr:uid="{00000000-0006-0000-0100-000040000000}">
      <text>
        <r>
          <rPr>
            <b/>
            <sz val="9"/>
            <color indexed="81"/>
            <rFont val="Tahoma"/>
            <family val="2"/>
          </rPr>
          <t>Usuário:</t>
        </r>
        <r>
          <rPr>
            <sz val="9"/>
            <color indexed="81"/>
            <rFont val="Tahoma"/>
            <family val="2"/>
          </rPr>
          <t xml:space="preserve">
VERDE</t>
        </r>
      </text>
    </comment>
    <comment ref="C73" authorId="0" shapeId="0" xr:uid="{00000000-0006-0000-0100-000041000000}">
      <text>
        <r>
          <rPr>
            <b/>
            <sz val="9"/>
            <color indexed="81"/>
            <rFont val="Tahoma"/>
            <family val="2"/>
          </rPr>
          <t>Usuário:</t>
        </r>
        <r>
          <rPr>
            <sz val="9"/>
            <color indexed="81"/>
            <rFont val="Tahoma"/>
            <family val="2"/>
          </rPr>
          <t xml:space="preserve">
TELHA</t>
        </r>
      </text>
    </comment>
    <comment ref="D73" authorId="0" shapeId="0" xr:uid="{00000000-0006-0000-0100-000042000000}">
      <text>
        <r>
          <rPr>
            <b/>
            <sz val="9"/>
            <color indexed="81"/>
            <rFont val="Tahoma"/>
            <family val="2"/>
          </rPr>
          <t>Usuário:</t>
        </r>
        <r>
          <rPr>
            <sz val="9"/>
            <color indexed="81"/>
            <rFont val="Tahoma"/>
            <family val="2"/>
          </rPr>
          <t xml:space="preserve">
LARANJA</t>
        </r>
      </text>
    </comment>
    <comment ref="E73" authorId="0" shapeId="0" xr:uid="{00000000-0006-0000-0100-000043000000}">
      <text>
        <r>
          <rPr>
            <b/>
            <sz val="9"/>
            <color indexed="81"/>
            <rFont val="Tahoma"/>
            <family val="2"/>
          </rPr>
          <t>Usuário:</t>
        </r>
        <r>
          <rPr>
            <sz val="9"/>
            <color indexed="81"/>
            <rFont val="Tahoma"/>
            <family val="2"/>
          </rPr>
          <t xml:space="preserve">
VERDE COM VERDE</t>
        </r>
      </text>
    </comment>
    <comment ref="F73" authorId="0" shapeId="0" xr:uid="{00000000-0006-0000-0100-000044000000}">
      <text>
        <r>
          <rPr>
            <b/>
            <sz val="9"/>
            <color indexed="81"/>
            <rFont val="Tahoma"/>
            <family val="2"/>
          </rPr>
          <t>Usuário:</t>
        </r>
        <r>
          <rPr>
            <sz val="9"/>
            <color indexed="81"/>
            <rFont val="Tahoma"/>
            <family val="2"/>
          </rPr>
          <t xml:space="preserve">
VERDE COM TELHA</t>
        </r>
      </text>
    </comment>
    <comment ref="G73" authorId="0" shapeId="0" xr:uid="{00000000-0006-0000-0100-000045000000}">
      <text>
        <r>
          <rPr>
            <b/>
            <sz val="9"/>
            <color indexed="81"/>
            <rFont val="Tahoma"/>
            <family val="2"/>
          </rPr>
          <t>Usuário:</t>
        </r>
        <r>
          <rPr>
            <sz val="9"/>
            <color indexed="81"/>
            <rFont val="Tahoma"/>
            <family val="2"/>
          </rPr>
          <t xml:space="preserve">
VERDE COM CINZA</t>
        </r>
      </text>
    </comment>
    <comment ref="H73" authorId="0" shapeId="0" xr:uid="{00000000-0006-0000-0100-000046000000}">
      <text>
        <r>
          <rPr>
            <b/>
            <sz val="9"/>
            <color indexed="81"/>
            <rFont val="Tahoma"/>
            <family val="2"/>
          </rPr>
          <t>Usuário:</t>
        </r>
        <r>
          <rPr>
            <sz val="9"/>
            <color indexed="81"/>
            <rFont val="Tahoma"/>
            <family val="2"/>
          </rPr>
          <t xml:space="preserve">
TELHA COM VERDE</t>
        </r>
      </text>
    </comment>
    <comment ref="I73" authorId="0" shapeId="0" xr:uid="{00000000-0006-0000-0100-000047000000}">
      <text>
        <r>
          <rPr>
            <b/>
            <sz val="9"/>
            <color indexed="81"/>
            <rFont val="Tahoma"/>
            <family val="2"/>
          </rPr>
          <t>Usuário:</t>
        </r>
        <r>
          <rPr>
            <sz val="9"/>
            <color indexed="81"/>
            <rFont val="Tahoma"/>
            <family val="2"/>
          </rPr>
          <t xml:space="preserve">
TELHA COM TELHA</t>
        </r>
      </text>
    </comment>
    <comment ref="J73" authorId="0" shapeId="0" xr:uid="{00000000-0006-0000-0100-000048000000}">
      <text>
        <r>
          <rPr>
            <b/>
            <sz val="9"/>
            <color indexed="81"/>
            <rFont val="Tahoma"/>
            <family val="2"/>
          </rPr>
          <t>Usuário:</t>
        </r>
        <r>
          <rPr>
            <sz val="9"/>
            <color indexed="81"/>
            <rFont val="Tahoma"/>
            <family val="2"/>
          </rPr>
          <t xml:space="preserve">
TELHA COM CINZA</t>
        </r>
      </text>
    </comment>
    <comment ref="B83" authorId="0" shapeId="0" xr:uid="{00000000-0006-0000-0100-000049000000}">
      <text>
        <r>
          <rPr>
            <b/>
            <sz val="9"/>
            <color indexed="81"/>
            <rFont val="Tahoma"/>
            <family val="2"/>
          </rPr>
          <t>Usuário:</t>
        </r>
        <r>
          <rPr>
            <sz val="9"/>
            <color indexed="81"/>
            <rFont val="Tahoma"/>
            <family val="2"/>
          </rPr>
          <t xml:space="preserve">
VERDE</t>
        </r>
      </text>
    </comment>
    <comment ref="C83" authorId="0" shapeId="0" xr:uid="{00000000-0006-0000-0100-00004A000000}">
      <text>
        <r>
          <rPr>
            <b/>
            <sz val="9"/>
            <color indexed="81"/>
            <rFont val="Tahoma"/>
            <family val="2"/>
          </rPr>
          <t>Usuário:</t>
        </r>
        <r>
          <rPr>
            <sz val="9"/>
            <color indexed="81"/>
            <rFont val="Tahoma"/>
            <family val="2"/>
          </rPr>
          <t xml:space="preserve">
TELHA</t>
        </r>
      </text>
    </comment>
    <comment ref="D83" authorId="0" shapeId="0" xr:uid="{00000000-0006-0000-0100-00004B000000}">
      <text>
        <r>
          <rPr>
            <b/>
            <sz val="9"/>
            <color indexed="81"/>
            <rFont val="Tahoma"/>
            <family val="2"/>
          </rPr>
          <t>Usuário:</t>
        </r>
        <r>
          <rPr>
            <sz val="9"/>
            <color indexed="81"/>
            <rFont val="Tahoma"/>
            <family val="2"/>
          </rPr>
          <t xml:space="preserve">
LARANJA</t>
        </r>
      </text>
    </comment>
    <comment ref="E83" authorId="0" shapeId="0" xr:uid="{00000000-0006-0000-0100-00004C000000}">
      <text>
        <r>
          <rPr>
            <b/>
            <sz val="9"/>
            <color indexed="81"/>
            <rFont val="Tahoma"/>
            <family val="2"/>
          </rPr>
          <t>Usuário:</t>
        </r>
        <r>
          <rPr>
            <sz val="9"/>
            <color indexed="81"/>
            <rFont val="Tahoma"/>
            <family val="2"/>
          </rPr>
          <t xml:space="preserve">
VERDE COM VERDE</t>
        </r>
      </text>
    </comment>
    <comment ref="F83" authorId="0" shapeId="0" xr:uid="{00000000-0006-0000-0100-00004D000000}">
      <text>
        <r>
          <rPr>
            <b/>
            <sz val="9"/>
            <color indexed="81"/>
            <rFont val="Tahoma"/>
            <family val="2"/>
          </rPr>
          <t>Usuário:</t>
        </r>
        <r>
          <rPr>
            <sz val="9"/>
            <color indexed="81"/>
            <rFont val="Tahoma"/>
            <family val="2"/>
          </rPr>
          <t xml:space="preserve">
VERDE COM TELHA</t>
        </r>
      </text>
    </comment>
    <comment ref="G83" authorId="0" shapeId="0" xr:uid="{00000000-0006-0000-0100-00004E000000}">
      <text>
        <r>
          <rPr>
            <b/>
            <sz val="9"/>
            <color indexed="81"/>
            <rFont val="Tahoma"/>
            <family val="2"/>
          </rPr>
          <t>Usuário:</t>
        </r>
        <r>
          <rPr>
            <sz val="9"/>
            <color indexed="81"/>
            <rFont val="Tahoma"/>
            <family val="2"/>
          </rPr>
          <t xml:space="preserve">
VERDE COM CINZA</t>
        </r>
      </text>
    </comment>
    <comment ref="H83" authorId="0" shapeId="0" xr:uid="{00000000-0006-0000-0100-00004F000000}">
      <text>
        <r>
          <rPr>
            <b/>
            <sz val="9"/>
            <color indexed="81"/>
            <rFont val="Tahoma"/>
            <family val="2"/>
          </rPr>
          <t>Usuário:</t>
        </r>
        <r>
          <rPr>
            <sz val="9"/>
            <color indexed="81"/>
            <rFont val="Tahoma"/>
            <family val="2"/>
          </rPr>
          <t xml:space="preserve">
TELHA COM VERDE</t>
        </r>
      </text>
    </comment>
    <comment ref="I83" authorId="0" shapeId="0" xr:uid="{00000000-0006-0000-0100-000050000000}">
      <text>
        <r>
          <rPr>
            <b/>
            <sz val="9"/>
            <color indexed="81"/>
            <rFont val="Tahoma"/>
            <family val="2"/>
          </rPr>
          <t>Usuário:</t>
        </r>
        <r>
          <rPr>
            <sz val="9"/>
            <color indexed="81"/>
            <rFont val="Tahoma"/>
            <family val="2"/>
          </rPr>
          <t xml:space="preserve">
TELHA COM TELHA</t>
        </r>
      </text>
    </comment>
    <comment ref="J83" authorId="0" shapeId="0" xr:uid="{00000000-0006-0000-0100-000051000000}">
      <text>
        <r>
          <rPr>
            <b/>
            <sz val="9"/>
            <color indexed="81"/>
            <rFont val="Tahoma"/>
            <family val="2"/>
          </rPr>
          <t>Usuário:</t>
        </r>
        <r>
          <rPr>
            <sz val="9"/>
            <color indexed="81"/>
            <rFont val="Tahoma"/>
            <family val="2"/>
          </rPr>
          <t xml:space="preserve">
TELHA COM CINZA</t>
        </r>
      </text>
    </comment>
    <comment ref="B93" authorId="0" shapeId="0" xr:uid="{00000000-0006-0000-0100-000052000000}">
      <text>
        <r>
          <rPr>
            <b/>
            <sz val="9"/>
            <color indexed="81"/>
            <rFont val="Tahoma"/>
            <family val="2"/>
          </rPr>
          <t>Usuário:</t>
        </r>
        <r>
          <rPr>
            <sz val="9"/>
            <color indexed="81"/>
            <rFont val="Tahoma"/>
            <family val="2"/>
          </rPr>
          <t xml:space="preserve">
VERDE</t>
        </r>
      </text>
    </comment>
    <comment ref="C93" authorId="0" shapeId="0" xr:uid="{00000000-0006-0000-0100-000053000000}">
      <text>
        <r>
          <rPr>
            <b/>
            <sz val="9"/>
            <color indexed="81"/>
            <rFont val="Tahoma"/>
            <family val="2"/>
          </rPr>
          <t>Usuário:</t>
        </r>
        <r>
          <rPr>
            <sz val="9"/>
            <color indexed="81"/>
            <rFont val="Tahoma"/>
            <family val="2"/>
          </rPr>
          <t xml:space="preserve">
TELHA</t>
        </r>
      </text>
    </comment>
    <comment ref="D93" authorId="0" shapeId="0" xr:uid="{00000000-0006-0000-0100-000054000000}">
      <text>
        <r>
          <rPr>
            <b/>
            <sz val="9"/>
            <color indexed="81"/>
            <rFont val="Tahoma"/>
            <family val="2"/>
          </rPr>
          <t>Usuário:</t>
        </r>
        <r>
          <rPr>
            <sz val="9"/>
            <color indexed="81"/>
            <rFont val="Tahoma"/>
            <family val="2"/>
          </rPr>
          <t xml:space="preserve">
LARANJA</t>
        </r>
      </text>
    </comment>
    <comment ref="E93" authorId="0" shapeId="0" xr:uid="{00000000-0006-0000-0100-000055000000}">
      <text>
        <r>
          <rPr>
            <b/>
            <sz val="9"/>
            <color indexed="81"/>
            <rFont val="Tahoma"/>
            <family val="2"/>
          </rPr>
          <t>Usuário:</t>
        </r>
        <r>
          <rPr>
            <sz val="9"/>
            <color indexed="81"/>
            <rFont val="Tahoma"/>
            <family val="2"/>
          </rPr>
          <t xml:space="preserve">
VERDE COM VERDE</t>
        </r>
      </text>
    </comment>
    <comment ref="F93" authorId="0" shapeId="0" xr:uid="{00000000-0006-0000-0100-000056000000}">
      <text>
        <r>
          <rPr>
            <b/>
            <sz val="9"/>
            <color indexed="81"/>
            <rFont val="Tahoma"/>
            <family val="2"/>
          </rPr>
          <t>Usuário:</t>
        </r>
        <r>
          <rPr>
            <sz val="9"/>
            <color indexed="81"/>
            <rFont val="Tahoma"/>
            <family val="2"/>
          </rPr>
          <t xml:space="preserve">
VERDE COM TELHA</t>
        </r>
      </text>
    </comment>
    <comment ref="G93" authorId="0" shapeId="0" xr:uid="{00000000-0006-0000-0100-000057000000}">
      <text>
        <r>
          <rPr>
            <b/>
            <sz val="9"/>
            <color indexed="81"/>
            <rFont val="Tahoma"/>
            <family val="2"/>
          </rPr>
          <t>Usuário:</t>
        </r>
        <r>
          <rPr>
            <sz val="9"/>
            <color indexed="81"/>
            <rFont val="Tahoma"/>
            <family val="2"/>
          </rPr>
          <t xml:space="preserve">
VERDE COM CINZA</t>
        </r>
      </text>
    </comment>
    <comment ref="H93" authorId="0" shapeId="0" xr:uid="{00000000-0006-0000-0100-000058000000}">
      <text>
        <r>
          <rPr>
            <b/>
            <sz val="9"/>
            <color indexed="81"/>
            <rFont val="Tahoma"/>
            <family val="2"/>
          </rPr>
          <t>Usuário:</t>
        </r>
        <r>
          <rPr>
            <sz val="9"/>
            <color indexed="81"/>
            <rFont val="Tahoma"/>
            <family val="2"/>
          </rPr>
          <t xml:space="preserve">
TELHA COM VERDE</t>
        </r>
      </text>
    </comment>
    <comment ref="I93" authorId="0" shapeId="0" xr:uid="{00000000-0006-0000-0100-000059000000}">
      <text>
        <r>
          <rPr>
            <b/>
            <sz val="9"/>
            <color indexed="81"/>
            <rFont val="Tahoma"/>
            <family val="2"/>
          </rPr>
          <t>Usuário:</t>
        </r>
        <r>
          <rPr>
            <sz val="9"/>
            <color indexed="81"/>
            <rFont val="Tahoma"/>
            <family val="2"/>
          </rPr>
          <t xml:space="preserve">
TELHA COM TELHA</t>
        </r>
      </text>
    </comment>
    <comment ref="J93" authorId="0" shapeId="0" xr:uid="{00000000-0006-0000-0100-00005A000000}">
      <text>
        <r>
          <rPr>
            <b/>
            <sz val="9"/>
            <color indexed="81"/>
            <rFont val="Tahoma"/>
            <family val="2"/>
          </rPr>
          <t>Usuário:</t>
        </r>
        <r>
          <rPr>
            <sz val="9"/>
            <color indexed="81"/>
            <rFont val="Tahoma"/>
            <family val="2"/>
          </rPr>
          <t xml:space="preserve">
TELHA COM CINZA</t>
        </r>
      </text>
    </comment>
    <comment ref="B103" authorId="0" shapeId="0" xr:uid="{00000000-0006-0000-0100-00005B000000}">
      <text>
        <r>
          <rPr>
            <b/>
            <sz val="9"/>
            <color indexed="81"/>
            <rFont val="Tahoma"/>
            <family val="2"/>
          </rPr>
          <t>Usuário:</t>
        </r>
        <r>
          <rPr>
            <sz val="9"/>
            <color indexed="81"/>
            <rFont val="Tahoma"/>
            <family val="2"/>
          </rPr>
          <t xml:space="preserve">
VERDE</t>
        </r>
      </text>
    </comment>
    <comment ref="C103" authorId="0" shapeId="0" xr:uid="{00000000-0006-0000-0100-00005C000000}">
      <text>
        <r>
          <rPr>
            <b/>
            <sz val="9"/>
            <color indexed="81"/>
            <rFont val="Tahoma"/>
            <family val="2"/>
          </rPr>
          <t>Usuário:</t>
        </r>
        <r>
          <rPr>
            <sz val="9"/>
            <color indexed="81"/>
            <rFont val="Tahoma"/>
            <family val="2"/>
          </rPr>
          <t xml:space="preserve">
TELHA</t>
        </r>
      </text>
    </comment>
    <comment ref="D103" authorId="0" shapeId="0" xr:uid="{00000000-0006-0000-0100-00005D000000}">
      <text>
        <r>
          <rPr>
            <b/>
            <sz val="9"/>
            <color indexed="81"/>
            <rFont val="Tahoma"/>
            <family val="2"/>
          </rPr>
          <t>Usuário:</t>
        </r>
        <r>
          <rPr>
            <sz val="9"/>
            <color indexed="81"/>
            <rFont val="Tahoma"/>
            <family val="2"/>
          </rPr>
          <t xml:space="preserve">
LARANJA</t>
        </r>
      </text>
    </comment>
    <comment ref="E103" authorId="0" shapeId="0" xr:uid="{00000000-0006-0000-0100-00005E000000}">
      <text>
        <r>
          <rPr>
            <b/>
            <sz val="9"/>
            <color indexed="81"/>
            <rFont val="Tahoma"/>
            <family val="2"/>
          </rPr>
          <t>Usuário:</t>
        </r>
        <r>
          <rPr>
            <sz val="9"/>
            <color indexed="81"/>
            <rFont val="Tahoma"/>
            <family val="2"/>
          </rPr>
          <t xml:space="preserve">
VERDE COM VERDE</t>
        </r>
      </text>
    </comment>
    <comment ref="F103" authorId="0" shapeId="0" xr:uid="{00000000-0006-0000-0100-00005F000000}">
      <text>
        <r>
          <rPr>
            <b/>
            <sz val="9"/>
            <color indexed="81"/>
            <rFont val="Tahoma"/>
            <family val="2"/>
          </rPr>
          <t>Usuário:</t>
        </r>
        <r>
          <rPr>
            <sz val="9"/>
            <color indexed="81"/>
            <rFont val="Tahoma"/>
            <family val="2"/>
          </rPr>
          <t xml:space="preserve">
VERDE COM TELHA</t>
        </r>
      </text>
    </comment>
    <comment ref="G103" authorId="0" shapeId="0" xr:uid="{00000000-0006-0000-0100-000060000000}">
      <text>
        <r>
          <rPr>
            <b/>
            <sz val="9"/>
            <color indexed="81"/>
            <rFont val="Tahoma"/>
            <family val="2"/>
          </rPr>
          <t>Usuário:</t>
        </r>
        <r>
          <rPr>
            <sz val="9"/>
            <color indexed="81"/>
            <rFont val="Tahoma"/>
            <family val="2"/>
          </rPr>
          <t xml:space="preserve">
VERDE COM CINZA</t>
        </r>
      </text>
    </comment>
    <comment ref="H103" authorId="0" shapeId="0" xr:uid="{00000000-0006-0000-0100-000061000000}">
      <text>
        <r>
          <rPr>
            <b/>
            <sz val="9"/>
            <color indexed="81"/>
            <rFont val="Tahoma"/>
            <family val="2"/>
          </rPr>
          <t>Usuário:</t>
        </r>
        <r>
          <rPr>
            <sz val="9"/>
            <color indexed="81"/>
            <rFont val="Tahoma"/>
            <family val="2"/>
          </rPr>
          <t xml:space="preserve">
TELHA COM VERDE</t>
        </r>
      </text>
    </comment>
    <comment ref="I103" authorId="0" shapeId="0" xr:uid="{00000000-0006-0000-0100-000062000000}">
      <text>
        <r>
          <rPr>
            <b/>
            <sz val="9"/>
            <color indexed="81"/>
            <rFont val="Tahoma"/>
            <family val="2"/>
          </rPr>
          <t>Usuário:</t>
        </r>
        <r>
          <rPr>
            <sz val="9"/>
            <color indexed="81"/>
            <rFont val="Tahoma"/>
            <family val="2"/>
          </rPr>
          <t xml:space="preserve">
TELHA COM TELHA</t>
        </r>
      </text>
    </comment>
    <comment ref="J103" authorId="0" shapeId="0" xr:uid="{00000000-0006-0000-0100-000063000000}">
      <text>
        <r>
          <rPr>
            <b/>
            <sz val="9"/>
            <color indexed="81"/>
            <rFont val="Tahoma"/>
            <family val="2"/>
          </rPr>
          <t>Usuário:</t>
        </r>
        <r>
          <rPr>
            <sz val="9"/>
            <color indexed="81"/>
            <rFont val="Tahoma"/>
            <family val="2"/>
          </rPr>
          <t xml:space="preserve">
TELHA COM CINZA</t>
        </r>
      </text>
    </comment>
    <comment ref="B113" authorId="0" shapeId="0" xr:uid="{00000000-0006-0000-0100-000064000000}">
      <text>
        <r>
          <rPr>
            <b/>
            <sz val="9"/>
            <color indexed="81"/>
            <rFont val="Tahoma"/>
            <family val="2"/>
          </rPr>
          <t>Usuário:</t>
        </r>
        <r>
          <rPr>
            <sz val="9"/>
            <color indexed="81"/>
            <rFont val="Tahoma"/>
            <family val="2"/>
          </rPr>
          <t xml:space="preserve">
VERDE</t>
        </r>
      </text>
    </comment>
    <comment ref="C113" authorId="0" shapeId="0" xr:uid="{00000000-0006-0000-0100-000065000000}">
      <text>
        <r>
          <rPr>
            <b/>
            <sz val="9"/>
            <color indexed="81"/>
            <rFont val="Tahoma"/>
            <family val="2"/>
          </rPr>
          <t>Usuário:</t>
        </r>
        <r>
          <rPr>
            <sz val="9"/>
            <color indexed="81"/>
            <rFont val="Tahoma"/>
            <family val="2"/>
          </rPr>
          <t xml:space="preserve">
TELHA</t>
        </r>
      </text>
    </comment>
    <comment ref="D113" authorId="0" shapeId="0" xr:uid="{00000000-0006-0000-0100-000066000000}">
      <text>
        <r>
          <rPr>
            <b/>
            <sz val="9"/>
            <color indexed="81"/>
            <rFont val="Tahoma"/>
            <family val="2"/>
          </rPr>
          <t>Usuário:</t>
        </r>
        <r>
          <rPr>
            <sz val="9"/>
            <color indexed="81"/>
            <rFont val="Tahoma"/>
            <family val="2"/>
          </rPr>
          <t xml:space="preserve">
LARANJA</t>
        </r>
      </text>
    </comment>
    <comment ref="E113" authorId="0" shapeId="0" xr:uid="{00000000-0006-0000-0100-000067000000}">
      <text>
        <r>
          <rPr>
            <b/>
            <sz val="9"/>
            <color indexed="81"/>
            <rFont val="Tahoma"/>
            <family val="2"/>
          </rPr>
          <t>Usuário:</t>
        </r>
        <r>
          <rPr>
            <sz val="9"/>
            <color indexed="81"/>
            <rFont val="Tahoma"/>
            <family val="2"/>
          </rPr>
          <t xml:space="preserve">
VERDE COM VERDE</t>
        </r>
      </text>
    </comment>
    <comment ref="F113" authorId="0" shapeId="0" xr:uid="{00000000-0006-0000-0100-000068000000}">
      <text>
        <r>
          <rPr>
            <b/>
            <sz val="9"/>
            <color indexed="81"/>
            <rFont val="Tahoma"/>
            <family val="2"/>
          </rPr>
          <t>Usuário:</t>
        </r>
        <r>
          <rPr>
            <sz val="9"/>
            <color indexed="81"/>
            <rFont val="Tahoma"/>
            <family val="2"/>
          </rPr>
          <t xml:space="preserve">
VERDE COM TELHA</t>
        </r>
      </text>
    </comment>
    <comment ref="G113" authorId="0" shapeId="0" xr:uid="{00000000-0006-0000-0100-000069000000}">
      <text>
        <r>
          <rPr>
            <b/>
            <sz val="9"/>
            <color indexed="81"/>
            <rFont val="Tahoma"/>
            <family val="2"/>
          </rPr>
          <t>Usuário:</t>
        </r>
        <r>
          <rPr>
            <sz val="9"/>
            <color indexed="81"/>
            <rFont val="Tahoma"/>
            <family val="2"/>
          </rPr>
          <t xml:space="preserve">
VERDE COM CINZA</t>
        </r>
      </text>
    </comment>
    <comment ref="H113" authorId="0" shapeId="0" xr:uid="{00000000-0006-0000-0100-00006A000000}">
      <text>
        <r>
          <rPr>
            <b/>
            <sz val="9"/>
            <color indexed="81"/>
            <rFont val="Tahoma"/>
            <family val="2"/>
          </rPr>
          <t>Usuário:</t>
        </r>
        <r>
          <rPr>
            <sz val="9"/>
            <color indexed="81"/>
            <rFont val="Tahoma"/>
            <family val="2"/>
          </rPr>
          <t xml:space="preserve">
TELHA COM VERDE</t>
        </r>
      </text>
    </comment>
    <comment ref="I113" authorId="0" shapeId="0" xr:uid="{00000000-0006-0000-0100-00006B000000}">
      <text>
        <r>
          <rPr>
            <b/>
            <sz val="9"/>
            <color indexed="81"/>
            <rFont val="Tahoma"/>
            <family val="2"/>
          </rPr>
          <t>Usuário:</t>
        </r>
        <r>
          <rPr>
            <sz val="9"/>
            <color indexed="81"/>
            <rFont val="Tahoma"/>
            <family val="2"/>
          </rPr>
          <t xml:space="preserve">
TELHA COM TELHA</t>
        </r>
      </text>
    </comment>
    <comment ref="J113" authorId="0" shapeId="0" xr:uid="{00000000-0006-0000-0100-00006C000000}">
      <text>
        <r>
          <rPr>
            <b/>
            <sz val="9"/>
            <color indexed="81"/>
            <rFont val="Tahoma"/>
            <family val="2"/>
          </rPr>
          <t>Usuário:</t>
        </r>
        <r>
          <rPr>
            <sz val="9"/>
            <color indexed="81"/>
            <rFont val="Tahoma"/>
            <family val="2"/>
          </rPr>
          <t xml:space="preserve">
TELHA COM CINZA</t>
        </r>
      </text>
    </comment>
    <comment ref="B123" authorId="0" shapeId="0" xr:uid="{00000000-0006-0000-0100-00006D000000}">
      <text>
        <r>
          <rPr>
            <b/>
            <sz val="9"/>
            <color indexed="81"/>
            <rFont val="Tahoma"/>
            <family val="2"/>
          </rPr>
          <t>Usuário:</t>
        </r>
        <r>
          <rPr>
            <sz val="9"/>
            <color indexed="81"/>
            <rFont val="Tahoma"/>
            <family val="2"/>
          </rPr>
          <t xml:space="preserve">
VERDE</t>
        </r>
      </text>
    </comment>
    <comment ref="C123" authorId="0" shapeId="0" xr:uid="{00000000-0006-0000-0100-00006E000000}">
      <text>
        <r>
          <rPr>
            <b/>
            <sz val="9"/>
            <color indexed="81"/>
            <rFont val="Tahoma"/>
            <family val="2"/>
          </rPr>
          <t>Usuário:</t>
        </r>
        <r>
          <rPr>
            <sz val="9"/>
            <color indexed="81"/>
            <rFont val="Tahoma"/>
            <family val="2"/>
          </rPr>
          <t xml:space="preserve">
TELHA</t>
        </r>
      </text>
    </comment>
    <comment ref="D123" authorId="0" shapeId="0" xr:uid="{00000000-0006-0000-0100-00006F000000}">
      <text>
        <r>
          <rPr>
            <b/>
            <sz val="9"/>
            <color indexed="81"/>
            <rFont val="Tahoma"/>
            <family val="2"/>
          </rPr>
          <t>Usuário:</t>
        </r>
        <r>
          <rPr>
            <sz val="9"/>
            <color indexed="81"/>
            <rFont val="Tahoma"/>
            <family val="2"/>
          </rPr>
          <t xml:space="preserve">
LARANJA</t>
        </r>
      </text>
    </comment>
    <comment ref="E123" authorId="0" shapeId="0" xr:uid="{00000000-0006-0000-0100-000070000000}">
      <text>
        <r>
          <rPr>
            <b/>
            <sz val="9"/>
            <color indexed="81"/>
            <rFont val="Tahoma"/>
            <family val="2"/>
          </rPr>
          <t>Usuário:</t>
        </r>
        <r>
          <rPr>
            <sz val="9"/>
            <color indexed="81"/>
            <rFont val="Tahoma"/>
            <family val="2"/>
          </rPr>
          <t xml:space="preserve">
VERDE COM VERDE</t>
        </r>
      </text>
    </comment>
    <comment ref="F123" authorId="0" shapeId="0" xr:uid="{00000000-0006-0000-0100-000071000000}">
      <text>
        <r>
          <rPr>
            <b/>
            <sz val="9"/>
            <color indexed="81"/>
            <rFont val="Tahoma"/>
            <family val="2"/>
          </rPr>
          <t>Usuário:</t>
        </r>
        <r>
          <rPr>
            <sz val="9"/>
            <color indexed="81"/>
            <rFont val="Tahoma"/>
            <family val="2"/>
          </rPr>
          <t xml:space="preserve">
VERDE COM TELHA</t>
        </r>
      </text>
    </comment>
    <comment ref="G123" authorId="0" shapeId="0" xr:uid="{00000000-0006-0000-0100-000072000000}">
      <text>
        <r>
          <rPr>
            <b/>
            <sz val="9"/>
            <color indexed="81"/>
            <rFont val="Tahoma"/>
            <family val="2"/>
          </rPr>
          <t>Usuário:</t>
        </r>
        <r>
          <rPr>
            <sz val="9"/>
            <color indexed="81"/>
            <rFont val="Tahoma"/>
            <family val="2"/>
          </rPr>
          <t xml:space="preserve">
VERDE COM CINZA</t>
        </r>
      </text>
    </comment>
    <comment ref="H123" authorId="0" shapeId="0" xr:uid="{00000000-0006-0000-0100-000073000000}">
      <text>
        <r>
          <rPr>
            <b/>
            <sz val="9"/>
            <color indexed="81"/>
            <rFont val="Tahoma"/>
            <family val="2"/>
          </rPr>
          <t>Usuário:</t>
        </r>
        <r>
          <rPr>
            <sz val="9"/>
            <color indexed="81"/>
            <rFont val="Tahoma"/>
            <family val="2"/>
          </rPr>
          <t xml:space="preserve">
TELHA COM VERDE</t>
        </r>
      </text>
    </comment>
    <comment ref="I123" authorId="0" shapeId="0" xr:uid="{00000000-0006-0000-0100-000074000000}">
      <text>
        <r>
          <rPr>
            <b/>
            <sz val="9"/>
            <color indexed="81"/>
            <rFont val="Tahoma"/>
            <family val="2"/>
          </rPr>
          <t>Usuário:</t>
        </r>
        <r>
          <rPr>
            <sz val="9"/>
            <color indexed="81"/>
            <rFont val="Tahoma"/>
            <family val="2"/>
          </rPr>
          <t xml:space="preserve">
TELHA COM TELHA</t>
        </r>
      </text>
    </comment>
    <comment ref="J123" authorId="0" shapeId="0" xr:uid="{00000000-0006-0000-0100-000075000000}">
      <text>
        <r>
          <rPr>
            <b/>
            <sz val="9"/>
            <color indexed="81"/>
            <rFont val="Tahoma"/>
            <family val="2"/>
          </rPr>
          <t>Usuário:</t>
        </r>
        <r>
          <rPr>
            <sz val="9"/>
            <color indexed="81"/>
            <rFont val="Tahoma"/>
            <family val="2"/>
          </rPr>
          <t xml:space="preserve">
TELHA COM CINZA</t>
        </r>
      </text>
    </comment>
    <comment ref="B135" authorId="0" shapeId="0" xr:uid="{00000000-0006-0000-0100-000076000000}">
      <text>
        <r>
          <rPr>
            <b/>
            <sz val="9"/>
            <color indexed="81"/>
            <rFont val="Tahoma"/>
            <family val="2"/>
          </rPr>
          <t>Usuário:</t>
        </r>
        <r>
          <rPr>
            <sz val="9"/>
            <color indexed="81"/>
            <rFont val="Tahoma"/>
            <family val="2"/>
          </rPr>
          <t xml:space="preserve">
VERDE</t>
        </r>
      </text>
    </comment>
    <comment ref="C135" authorId="0" shapeId="0" xr:uid="{00000000-0006-0000-0100-000077000000}">
      <text>
        <r>
          <rPr>
            <b/>
            <sz val="9"/>
            <color indexed="81"/>
            <rFont val="Tahoma"/>
            <family val="2"/>
          </rPr>
          <t>Usuário:</t>
        </r>
        <r>
          <rPr>
            <sz val="9"/>
            <color indexed="81"/>
            <rFont val="Tahoma"/>
            <family val="2"/>
          </rPr>
          <t xml:space="preserve">
TELHA</t>
        </r>
      </text>
    </comment>
    <comment ref="D135" authorId="0" shapeId="0" xr:uid="{00000000-0006-0000-0100-000078000000}">
      <text>
        <r>
          <rPr>
            <b/>
            <sz val="9"/>
            <color indexed="81"/>
            <rFont val="Tahoma"/>
            <family val="2"/>
          </rPr>
          <t>Usuário:</t>
        </r>
        <r>
          <rPr>
            <sz val="9"/>
            <color indexed="81"/>
            <rFont val="Tahoma"/>
            <family val="2"/>
          </rPr>
          <t xml:space="preserve">
LARANJA</t>
        </r>
      </text>
    </comment>
    <comment ref="E135" authorId="0" shapeId="0" xr:uid="{00000000-0006-0000-0100-000079000000}">
      <text>
        <r>
          <rPr>
            <b/>
            <sz val="9"/>
            <color indexed="81"/>
            <rFont val="Tahoma"/>
            <family val="2"/>
          </rPr>
          <t>Usuário:</t>
        </r>
        <r>
          <rPr>
            <sz val="9"/>
            <color indexed="81"/>
            <rFont val="Tahoma"/>
            <family val="2"/>
          </rPr>
          <t xml:space="preserve">
VERDE COM VERDE</t>
        </r>
      </text>
    </comment>
    <comment ref="F135" authorId="0" shapeId="0" xr:uid="{00000000-0006-0000-0100-00007A000000}">
      <text>
        <r>
          <rPr>
            <b/>
            <sz val="9"/>
            <color indexed="81"/>
            <rFont val="Tahoma"/>
            <family val="2"/>
          </rPr>
          <t>Usuário:</t>
        </r>
        <r>
          <rPr>
            <sz val="9"/>
            <color indexed="81"/>
            <rFont val="Tahoma"/>
            <family val="2"/>
          </rPr>
          <t xml:space="preserve">
VERDE COM TELHA</t>
        </r>
      </text>
    </comment>
    <comment ref="G135" authorId="0" shapeId="0" xr:uid="{00000000-0006-0000-0100-00007B000000}">
      <text>
        <r>
          <rPr>
            <b/>
            <sz val="9"/>
            <color indexed="81"/>
            <rFont val="Tahoma"/>
            <family val="2"/>
          </rPr>
          <t>Usuário:</t>
        </r>
        <r>
          <rPr>
            <sz val="9"/>
            <color indexed="81"/>
            <rFont val="Tahoma"/>
            <family val="2"/>
          </rPr>
          <t xml:space="preserve">
VERDE COM CINZA</t>
        </r>
      </text>
    </comment>
    <comment ref="H135" authorId="0" shapeId="0" xr:uid="{00000000-0006-0000-0100-00007C000000}">
      <text>
        <r>
          <rPr>
            <b/>
            <sz val="9"/>
            <color indexed="81"/>
            <rFont val="Tahoma"/>
            <family val="2"/>
          </rPr>
          <t>Usuário:</t>
        </r>
        <r>
          <rPr>
            <sz val="9"/>
            <color indexed="81"/>
            <rFont val="Tahoma"/>
            <family val="2"/>
          </rPr>
          <t xml:space="preserve">
TELHA COM VERDE</t>
        </r>
      </text>
    </comment>
    <comment ref="I135" authorId="0" shapeId="0" xr:uid="{00000000-0006-0000-0100-00007D000000}">
      <text>
        <r>
          <rPr>
            <b/>
            <sz val="9"/>
            <color indexed="81"/>
            <rFont val="Tahoma"/>
            <family val="2"/>
          </rPr>
          <t>Usuário:</t>
        </r>
        <r>
          <rPr>
            <sz val="9"/>
            <color indexed="81"/>
            <rFont val="Tahoma"/>
            <family val="2"/>
          </rPr>
          <t xml:space="preserve">
TELHA COM TELHA</t>
        </r>
      </text>
    </comment>
    <comment ref="J135" authorId="0" shapeId="0" xr:uid="{00000000-0006-0000-0100-00007E000000}">
      <text>
        <r>
          <rPr>
            <b/>
            <sz val="9"/>
            <color indexed="81"/>
            <rFont val="Tahoma"/>
            <family val="2"/>
          </rPr>
          <t>Usuário:</t>
        </r>
        <r>
          <rPr>
            <sz val="9"/>
            <color indexed="81"/>
            <rFont val="Tahoma"/>
            <family val="2"/>
          </rPr>
          <t xml:space="preserve">
TELHA COM CINZA</t>
        </r>
      </text>
    </comment>
  </commentList>
</comments>
</file>

<file path=xl/sharedStrings.xml><?xml version="1.0" encoding="utf-8"?>
<sst xmlns="http://schemas.openxmlformats.org/spreadsheetml/2006/main" count="1829" uniqueCount="748">
  <si>
    <t>COMISSÃO DE ORÇAMENTO E FINANCIAMENTO DO CONSELHO NACIONAL DA SAÚDE (Cofin/CNS) - ANÁLISE DO RAG 2019 - METAS DA PAS 2019 E DO PLANO NACIONAL DE SAÚDE 2016-2019</t>
  </si>
  <si>
    <t>Objetivo 01. Ampliar e qualificar o acesso aos serviços de saúde, em tempo adequado, com ênfase na humanização, equidade e no atendimento das necessidades de saúde, aprimorando a política de atenção básica e especializada, ambulatorial e hospitalar.</t>
  </si>
  <si>
    <t>RELATÓRIO ANUAL DE GESTÃO (RAG) 2019 DO MINISTÉRIO DA SAÚDE</t>
  </si>
  <si>
    <t>ANÁLISE COFIN/CNS PARA PARECER CONCLUSIVO DO RAG 2019</t>
  </si>
  <si>
    <t>Metas PNS</t>
  </si>
  <si>
    <t>Produto / Unidade de Medida</t>
  </si>
  <si>
    <t>Meta Física</t>
  </si>
  <si>
    <t>PNS - Meta Física Consolidação 2016-2019</t>
  </si>
  <si>
    <t>Programação Anual de Saúde (PAS) - Meta Física</t>
  </si>
  <si>
    <t>Observação</t>
  </si>
  <si>
    <t>Ação Orçamentária com PO (Fonte: RQPC 3ºquad.2019)</t>
  </si>
  <si>
    <t>PNS 2016 - 2019</t>
  </si>
  <si>
    <t>PAS 2016</t>
  </si>
  <si>
    <t>PAS 2017</t>
  </si>
  <si>
    <t>PAS 2018</t>
  </si>
  <si>
    <t>PAS 2019</t>
  </si>
  <si>
    <t>Análise do Cumprimento da Meta Quadrienal</t>
  </si>
  <si>
    <t>Análise Anual - 2019</t>
  </si>
  <si>
    <t>Prevista</t>
  </si>
  <si>
    <t>Realizada</t>
  </si>
  <si>
    <t>Absoluta</t>
  </si>
  <si>
    <t>Relativa</t>
  </si>
  <si>
    <t>Realizado 2019 x Realizado 2018</t>
  </si>
  <si>
    <t>Realizado 2019 x Previsto 2019</t>
  </si>
  <si>
    <r>
      <t>1.</t>
    </r>
    <r>
      <rPr>
        <sz val="10"/>
        <color theme="1"/>
        <rFont val="Times New Roman"/>
        <family val="1"/>
      </rPr>
      <t xml:space="preserve">        </t>
    </r>
    <r>
      <rPr>
        <sz val="10"/>
        <color theme="1"/>
        <rFont val="Calibri"/>
        <family val="2"/>
      </rPr>
      <t>Ampliar o número de equipes da Estratégia Saúde da Família e Atenção Básica para 46 mil.</t>
    </r>
  </si>
  <si>
    <t>Equipe de Saúde da Família e Atenção Básica apoiada [1] (unidade)</t>
  </si>
  <si>
    <t>43.217[2]</t>
  </si>
  <si>
    <t>superior a 2018</t>
  </si>
  <si>
    <t>219A (PO 0001)</t>
  </si>
  <si>
    <r>
      <t>2.</t>
    </r>
    <r>
      <rPr>
        <sz val="10"/>
        <color theme="1"/>
        <rFont val="Times New Roman"/>
        <family val="1"/>
      </rPr>
      <t xml:space="preserve">        </t>
    </r>
    <r>
      <rPr>
        <sz val="10"/>
        <color theme="1"/>
        <rFont val="Calibri"/>
        <family val="2"/>
      </rPr>
      <t>Ampliar o número de equipes do Núcleo de Apoio à Saúde da Família - NASF para 6.500.</t>
    </r>
  </si>
  <si>
    <t>Equipe do Núcleo Ampliado de Saúde da Família e Atenção Básica (NASF-AB) apoiado (unidade)</t>
  </si>
  <si>
    <t>inferior a 2018</t>
  </si>
  <si>
    <r>
      <t>3.</t>
    </r>
    <r>
      <rPr>
        <sz val="10"/>
        <color theme="1"/>
        <rFont val="Times New Roman"/>
        <family val="1"/>
      </rPr>
      <t xml:space="preserve">        </t>
    </r>
    <r>
      <rPr>
        <sz val="10"/>
        <color theme="1"/>
        <rFont val="Calibri"/>
        <family val="2"/>
      </rPr>
      <t>Ampliar o acesso à atenção odontológica na atenção básica, passando para 29 mil equipes de saúde bucal implantadas.</t>
    </r>
  </si>
  <si>
    <t>Equipe de Saúde Bucal na Estratégia Saúde da Família apoiada (unidade)</t>
  </si>
  <si>
    <r>
      <t>4.</t>
    </r>
    <r>
      <rPr>
        <sz val="10"/>
        <color theme="1"/>
        <rFont val="Times New Roman"/>
        <family val="1"/>
      </rPr>
      <t xml:space="preserve">        </t>
    </r>
    <r>
      <rPr>
        <sz val="10"/>
        <color theme="1"/>
        <rFont val="Calibri"/>
        <family val="2"/>
      </rPr>
      <t>Implantar 684 novas equipes de atenção domiciliar, sendo 432 novas Equipes Multiprofissionais de Atenção Domiciliar (EMAD) e 252 novas Equipes Multiprofissionais de Apoio (EMAP).</t>
    </r>
  </si>
  <si>
    <t>Equipe de Atenção Domiciliar custeada (unidade)</t>
  </si>
  <si>
    <t>94[3]</t>
  </si>
  <si>
    <t>?</t>
  </si>
  <si>
    <t>8585 (PO 0000)</t>
  </si>
  <si>
    <r>
      <t>5.</t>
    </r>
    <r>
      <rPr>
        <sz val="10"/>
        <color theme="1"/>
        <rFont val="Times New Roman"/>
        <family val="1"/>
      </rPr>
      <t xml:space="preserve">        </t>
    </r>
    <r>
      <rPr>
        <sz val="10"/>
        <color theme="1"/>
        <rFont val="Calibri"/>
        <family val="2"/>
      </rPr>
      <t>Ampliar a cobertura da atenção básica à saúde das pessoas privadas de liberdade no sistema prisional.</t>
    </r>
  </si>
  <si>
    <t>Equipe de Atenção Básica Prisional Constituída (unidade)[4]</t>
  </si>
  <si>
    <r>
      <t>6.</t>
    </r>
    <r>
      <rPr>
        <sz val="10"/>
        <color theme="1"/>
        <rFont val="Times New Roman"/>
        <family val="1"/>
      </rPr>
      <t xml:space="preserve">        </t>
    </r>
    <r>
      <rPr>
        <sz val="10"/>
        <color theme="1"/>
        <rFont val="Calibri"/>
        <family val="2"/>
      </rPr>
      <t>Alcançar 20.335 médicos brasileiros e estrangeiros atuando em regiões prioritárias para o SUS, por meio do Programa Mais Médicos e do Programa de Valorização dos Profissionais da Atenção Básica – PROVAB.</t>
    </r>
  </si>
  <si>
    <t>Médico alocado (unidade)</t>
  </si>
  <si>
    <t>16.001[5]</t>
  </si>
  <si>
    <t>214U (PO 000A) 214U (PO 000B)</t>
  </si>
  <si>
    <r>
      <t>7.</t>
    </r>
    <r>
      <rPr>
        <sz val="10"/>
        <color theme="1"/>
        <rFont val="Times New Roman"/>
        <family val="1"/>
      </rPr>
      <t xml:space="preserve">        </t>
    </r>
    <r>
      <rPr>
        <sz val="10"/>
        <color theme="1"/>
        <rFont val="Calibri"/>
        <family val="2"/>
      </rPr>
      <t>Avaliar e certificar a qualidade de 40 mil equipes de atenção básica no Programa Nacional de Melhoria do Acesso e da Qualidade da Atenção Básica (PMAQ-AB).</t>
    </r>
  </si>
  <si>
    <t>Equipe de Atenção Básica avaliada e certificada (unidade)</t>
  </si>
  <si>
    <t>34.774[6]</t>
  </si>
  <si>
    <r>
      <t>8.</t>
    </r>
    <r>
      <rPr>
        <sz val="10"/>
        <color theme="1"/>
        <rFont val="Times New Roman"/>
        <family val="1"/>
      </rPr>
      <t xml:space="preserve">        </t>
    </r>
    <r>
      <rPr>
        <sz val="10"/>
        <color theme="1"/>
        <rFont val="Calibri"/>
        <family val="2"/>
      </rPr>
      <t>Acompanhar na Atenção Básica pelo menos 73% de famílias beneficiárias do Programa Bolsa Família com as condicionalidades de saúde</t>
    </r>
  </si>
  <si>
    <t>Indivíduo beneficiado do PBF acompanhado (percentual)</t>
  </si>
  <si>
    <t>75,55%[7]</t>
  </si>
  <si>
    <t>3 pontos percentuais positivos</t>
  </si>
  <si>
    <t>0,5 ponto percentual superior ao previsto</t>
  </si>
  <si>
    <t>Não se aplica</t>
  </si>
  <si>
    <r>
      <t>9.</t>
    </r>
    <r>
      <rPr>
        <sz val="10"/>
        <color theme="1"/>
        <rFont val="Times New Roman"/>
        <family val="1"/>
      </rPr>
      <t xml:space="preserve">        </t>
    </r>
    <r>
      <rPr>
        <sz val="10"/>
        <color theme="1"/>
        <rFont val="Calibri"/>
        <family val="2"/>
      </rPr>
      <t>Aumentar de 18 para 20,7 milhões o número de educandos cobertos pelo Programa Saúde na Escola (PSE).</t>
    </r>
  </si>
  <si>
    <t>Educando da rede pública de ensino (educação básica) coberto pelo PSE (unidade)</t>
  </si>
  <si>
    <r>
      <t>10.</t>
    </r>
    <r>
      <rPr>
        <sz val="10"/>
        <color theme="1"/>
        <rFont val="Times New Roman"/>
        <family val="1"/>
      </rPr>
      <t xml:space="preserve">     </t>
    </r>
    <r>
      <rPr>
        <sz val="10"/>
        <color theme="1"/>
        <rFont val="Calibri"/>
        <family val="2"/>
      </rPr>
      <t>Ampliar em 5.994 o número de leitos, sendo 4.080 novos leitos de UTI Adulto, Pediátrico, Neonatal e Unidade Coronariana (UCO) e 1.914 leitos de UCI Convencional e Canguru no SUS, em todas as regiões do País.</t>
    </r>
  </si>
  <si>
    <t>Leito disponibilizado (unidade)[8]</t>
  </si>
  <si>
    <t>1.424[9]</t>
  </si>
  <si>
    <r>
      <t>11.</t>
    </r>
    <r>
      <rPr>
        <sz val="10"/>
        <color theme="1"/>
        <rFont val="Times New Roman"/>
        <family val="1"/>
      </rPr>
      <t xml:space="preserve">     </t>
    </r>
    <r>
      <rPr>
        <sz val="10"/>
        <color theme="1"/>
        <rFont val="Calibri"/>
        <family val="2"/>
      </rPr>
      <t>Aumentar em 4% ao ano o Índice de Transplantes de Órgãos Sólidos por milhão da população (pmp), passando de 37,95 pmp para 44,14 pmp.</t>
    </r>
  </si>
  <si>
    <t>Índice aferido de Transplantes de Órgãos realizados por milhão de população (pmp)</t>
  </si>
  <si>
    <t>41,05 pmp</t>
  </si>
  <si>
    <t>38,65 pmp</t>
  </si>
  <si>
    <t>42,69 pmp</t>
  </si>
  <si>
    <t>41,92 pmp</t>
  </si>
  <si>
    <t>44,40 pmp</t>
  </si>
  <si>
    <t>42,46 pmp</t>
  </si>
  <si>
    <t>44,14 pmp</t>
  </si>
  <si>
    <t xml:space="preserve"> 44,34 pmp[10]</t>
  </si>
  <si>
    <t>ok</t>
  </si>
  <si>
    <t>20SP</t>
  </si>
  <si>
    <r>
      <t>12.</t>
    </r>
    <r>
      <rPr>
        <sz val="10"/>
        <color theme="1"/>
        <rFont val="Times New Roman"/>
        <family val="1"/>
      </rPr>
      <t xml:space="preserve">     </t>
    </r>
    <r>
      <rPr>
        <sz val="10"/>
        <color theme="1"/>
        <rFont val="Calibri"/>
        <family val="2"/>
      </rPr>
      <t>Aumentar em 4% ao ano o Índice de Doadores Efetivos de Órgãos por milhão da população (pmp), passando de 13,36 pmp para 16,25 pmp.</t>
    </r>
  </si>
  <si>
    <t>Índice aferido de Doadores Efetivos de órgãos por milhão da população (pmp)</t>
  </si>
  <si>
    <t>14,45 pmp</t>
  </si>
  <si>
    <t>14,60 pmp</t>
  </si>
  <si>
    <t>15,03 pmp</t>
  </si>
  <si>
    <t>16,59 pmp</t>
  </si>
  <si>
    <t>15,62 pmp</t>
  </si>
  <si>
    <t>17 pmp</t>
  </si>
  <si>
    <t>16,25 pmp</t>
  </si>
  <si>
    <t>18,06 pmp[11]</t>
  </si>
  <si>
    <r>
      <t>13.</t>
    </r>
    <r>
      <rPr>
        <sz val="10"/>
        <color theme="1"/>
        <rFont val="Times New Roman"/>
        <family val="1"/>
      </rPr>
      <t xml:space="preserve">     </t>
    </r>
    <r>
      <rPr>
        <sz val="10"/>
        <color theme="1"/>
        <rFont val="Calibri"/>
        <family val="2"/>
      </rPr>
      <t>Disponibilizar teste de ácido nucléico - NAT brasileiro para HIV / HCV / HBV para 100% das doações de sangue realizadas no âmbito do SUS.</t>
    </r>
  </si>
  <si>
    <t>Teste NAT nacional disponibilizado (percentual)</t>
  </si>
  <si>
    <t>10 pontos percentuais negativos</t>
  </si>
  <si>
    <r>
      <t>14.</t>
    </r>
    <r>
      <rPr>
        <sz val="10"/>
        <color theme="1"/>
        <rFont val="Times New Roman"/>
        <family val="1"/>
      </rPr>
      <t xml:space="preserve">     </t>
    </r>
    <r>
      <rPr>
        <sz val="10"/>
        <color theme="1"/>
        <rFont val="Calibri"/>
        <family val="2"/>
      </rPr>
      <t>Aumentar de 20 para 150 as Centrais de Regulação que recebem incentivo federal de custeio para a melhoria do acesso aos serviços ambulatoriais especializados e hospitalares.</t>
    </r>
  </si>
  <si>
    <t>Central de Regulação custeada (unidade)[12]</t>
  </si>
  <si>
    <t>0[13]</t>
  </si>
  <si>
    <t>2[14]</t>
  </si>
  <si>
    <r>
      <t>15.</t>
    </r>
    <r>
      <rPr>
        <sz val="10"/>
        <color theme="1"/>
        <rFont val="Times New Roman"/>
        <family val="1"/>
      </rPr>
      <t xml:space="preserve">     </t>
    </r>
    <r>
      <rPr>
        <sz val="10"/>
        <color theme="1"/>
        <rFont val="Calibri"/>
        <family val="2"/>
      </rPr>
      <t>Custear a conectividade de banda larga de 19 mil Unidades Básicas de Saúde.</t>
    </r>
  </si>
  <si>
    <t>Unidade Básica de Saúde com conectividade custeada (unidade)</t>
  </si>
  <si>
    <t>-</t>
  </si>
  <si>
    <t>0[15]</t>
  </si>
  <si>
    <t>ZERO</t>
  </si>
  <si>
    <t>219A (PO 0004)</t>
  </si>
  <si>
    <r>
      <t>16.</t>
    </r>
    <r>
      <rPr>
        <sz val="10"/>
        <color theme="1"/>
        <rFont val="Times New Roman"/>
        <family val="1"/>
      </rPr>
      <t xml:space="preserve">     </t>
    </r>
    <r>
      <rPr>
        <sz val="10"/>
        <color theme="1"/>
        <rFont val="Calibri"/>
        <family val="2"/>
      </rPr>
      <t>Garantir 14 mil Unidades Básicas de Saúde utilizando prontuário eletrônico.</t>
    </r>
  </si>
  <si>
    <t>Unidades Básicas de Saúde com Prontuário Eletrônico implantado (unidade)</t>
  </si>
  <si>
    <t>2E79</t>
  </si>
  <si>
    <r>
      <t>17.</t>
    </r>
    <r>
      <rPr>
        <sz val="10"/>
        <color theme="1"/>
        <rFont val="Times New Roman"/>
        <family val="1"/>
      </rPr>
      <t xml:space="preserve">     </t>
    </r>
    <r>
      <rPr>
        <sz val="10"/>
        <color theme="1"/>
        <rFont val="Calibri"/>
        <family val="2"/>
      </rPr>
      <t>Implementar brinquedotecas em todos os hospitais federais que realizem atendimento pediátrico em regime de internação, em cumprimento da lei nº 11.104/2008</t>
    </r>
  </si>
  <si>
    <t>Brinquedotecas implementadas (unidade)</t>
  </si>
  <si>
    <t>0[16]</t>
  </si>
  <si>
    <t>20YI (PO 0003)</t>
  </si>
  <si>
    <r>
      <t>18.</t>
    </r>
    <r>
      <rPr>
        <sz val="10"/>
        <color theme="1"/>
        <rFont val="Times New Roman"/>
        <family val="1"/>
      </rPr>
      <t xml:space="preserve">     </t>
    </r>
    <r>
      <rPr>
        <sz val="10"/>
        <color theme="1"/>
        <rFont val="Calibri"/>
        <family val="2"/>
      </rPr>
      <t>Apoiar a construção, reforma e ampliação de mais 11.000 obras do Programa de Requalificação de UBS – RequalificaUBS.</t>
    </r>
  </si>
  <si>
    <t>Unidade Básica de Saúde com obra concluída (unidade)[17]</t>
  </si>
  <si>
    <t>1.486[18]</t>
  </si>
  <si>
    <t>12L5 8581</t>
  </si>
  <si>
    <r>
      <t>19.</t>
    </r>
    <r>
      <rPr>
        <sz val="10"/>
        <color theme="1"/>
        <rFont val="Times New Roman"/>
        <family val="1"/>
      </rPr>
      <t xml:space="preserve">     </t>
    </r>
    <r>
      <rPr>
        <sz val="10"/>
        <color theme="1"/>
        <rFont val="Calibri"/>
        <family val="2"/>
      </rPr>
      <t>Implantar 430 novos Centros de Especialidades Odontológicas - CEOs.</t>
    </r>
  </si>
  <si>
    <t>Centro de Especialidade Odontológica em funcionamento (unidade)</t>
  </si>
  <si>
    <t>38[19]</t>
  </si>
  <si>
    <t>219A (PO 0003)</t>
  </si>
  <si>
    <r>
      <t>20.</t>
    </r>
    <r>
      <rPr>
        <sz val="10"/>
        <color theme="1"/>
        <rFont val="Times New Roman"/>
        <family val="1"/>
      </rPr>
      <t xml:space="preserve">     </t>
    </r>
    <r>
      <rPr>
        <sz val="10"/>
        <color theme="1"/>
        <rFont val="Calibri"/>
        <family val="2"/>
      </rPr>
      <t>Implantar 650 novos Laboratórios Regionais de Próteses Dentárias.</t>
    </r>
  </si>
  <si>
    <t>Laboratório Regional de Prótese Dentária implantado (unidade)</t>
  </si>
  <si>
    <t>71[20]</t>
  </si>
  <si>
    <t>[1] Alterado de “equipe custeada” para “equipe apoiada”.</t>
  </si>
  <si>
    <t>[2] Dado revisado.</t>
  </si>
  <si>
    <t>[3] Até novembro de 2019 existiam 1.185 equipes (770 EMAD e 415 EMAP), das quais 94 (69 EMAD e 25 EMAP) entraram em funcionamento neste ano. Foram 267 equipes custeadas no quadriênio.</t>
  </si>
  <si>
    <t>[4] Entende-se por equipe de Atenção Básica Prisional constituída aquela em funcionamento regular, ou seja, com Portaria de habilitação publicada pelo Ministério da Saúde, devidamente cadastrada no CNES e que faz jus ao recebimento do incentivo financeiro federal de custeio na respectiva competência financeira, de acordo com a norma vigente.</t>
  </si>
  <si>
    <t>[5] Devido ao encerramento unilateral do acordo entre o Governo da República de Cuba e a Organização Pan-Americana da Saúde/Organização Mundial da Saúde (OPAS/OMS), houve uma redução do número de vagas com profissionais alocados.</t>
  </si>
  <si>
    <t>[6] Equipes avaliadas e certificadas no 3º ciclo do PMAQ.</t>
  </si>
  <si>
    <t>[7] Revisado de acordo com os dados da segunda vigência de 2018.</t>
  </si>
  <si>
    <t>[8] Redação alterada de “leito habilitado” para “leito disponibilizado”.</t>
  </si>
  <si>
    <t>[9] Em 2019, foram habilitados 1.424 novos leitos, sendo 1.030 de UTI (687 Adulto, 142 Pediátrico, 42 Coronariana, e 159 neonatal) e 394 leitos de UCIN (287 UCINCo e 107 UCINCa)</t>
  </si>
  <si>
    <t>[10] O índice utilizado representa a relação entre o número total de transplantes de órgãos realizados no ano (coração, fígado, rim, pâncreas e pulmão), dividido pela população nacional estimada pelo IBGE do ano anterior, multiplicado por 1.000.000. Dessa forma, tem-se o índice Apurado = 9.246/ 208.494.900) x 1.000.000 = 43,96 (pmp). Dados de anos anteriores revisados.</t>
  </si>
  <si>
    <t>[11] O índice representa a relação entre o número total de Doadores Efetivos de órgãos no ano, dividido pela população nacional estimada pelo IBGE do ano anterior, multiplicado por 1.000.000. Dessa forma, tem-se o índice Apurado = (3.767/ 208.494.900) x 1.000.000 = 17,89 (pmp). Dados de anos anteriores revisados.</t>
  </si>
  <si>
    <t>[12] Produto alterado de “Central de regulação habilitada” para “Central de regulação custeada”.</t>
  </si>
  <si>
    <t xml:space="preserve">[13] O alcance do resultado planejado foi comprometido pela necessidade de alteração da portaria que regulamenta a transferência do recurso em questão (Portaria n. 1792/2012/GM/MS). A minuta da nova portaria foi pactuada em reunião ordinária da CIT, e está, em análise na Consultoria Jurídica junto ao MS (CONJUR-MS). Em função da pactuação da nova portaria, não foram habilitadas novas centrais em 2018. </t>
  </si>
  <si>
    <t>[14] Até 2015, havia 45 Centrais de Regulação. No período de 2016 a 2019, com a qualificação de 10 centrais, o Ministério da Saúde mantém de forma complementar o repasse dos recursos de custeio para 55 centrais de regulação. Sendo 26 centrais de regulação ambulatoriais e 29 centrais de regulação hospitalares.</t>
  </si>
  <si>
    <t>[15] O serviço de internet banda larga dos pontos concedidos pelo Plano Nacional de Banda Larga foi interrompido em setembro de 2016, devido ao encerramento do Contrato Administrativo nº 75/2014, firmado entre o Ministério da Saúde e o 'CONSÓRCIO CONECTA BRASIL II', constituído pelas empresas OIS/A, OI MOVELS/A, EMPRESA BRASILEIRA DE TELECOMUNICAÇÕES S/A - EMBRATEL/CLARO S/A e TELEFÔNICADO BRASIL S/A. As empresas foram notificadas sobre o encerramento e já estão autorizadas a realizar a desativação e a retirada dos equipamentos. O Ministério da Saúde está em busca de novas possibilidades para proporcionar novamente o serviço de conexão às regiões de saúde.</t>
  </si>
  <si>
    <t>[16] Conforme parecer da ASJUR não é possível realizar o repasse de recurso pela ação orçamentária 20YI PO 0003 para esses hospitais de forma direta, pois depende de repasse de recurso através do Programa Nacional de Reestruturação dos Hospitais Universitários Federais (REHUF) criado por meio do Decreto nº 7.082, de 27 de janeiro de 2010 (define diretrizes e objetivos para a reestruturação e revitalização dos hospitais universitários federais, integrados ao Sistema Único de Saúde -SUS).</t>
  </si>
  <si>
    <t>[17] Produto alterado de “Número de UBS construída/ampliada/reformada” para “Número de UBS com obra concluída”.</t>
  </si>
  <si>
    <t>[18] Até dezembro foram concluídas 1.486 obras, sendo 713 construções, 427 ampliações e 346 reformas, ultrapassando o total previsto de execução da meta.</t>
  </si>
  <si>
    <t>[19] Dado revisado.</t>
  </si>
  <si>
    <t>[20] Dado revisado.</t>
  </si>
  <si>
    <t>Objetivo 02. Aprimorar e implantar as Redes de Atenção à Saúde nas regiões de saúde, com ênfase na articulação da Rede de Urgência e Emergência, Rede Cegonha, Rede de Atenção Psicossocial, Rede de Cuidados à Pessoa com Deficiência, e da Rede de Atenção à Saúde das Pessoas com Doenças Crônicas.</t>
  </si>
  <si>
    <r>
      <t>1.</t>
    </r>
    <r>
      <rPr>
        <sz val="7"/>
        <color theme="1"/>
        <rFont val="Times New Roman"/>
        <family val="1"/>
      </rPr>
      <t xml:space="preserve">        </t>
    </r>
    <r>
      <rPr>
        <sz val="9"/>
        <color theme="1"/>
        <rFont val="Calibri"/>
        <family val="2"/>
      </rPr>
      <t>Ampliar o acesso à Triagem Auditiva Neonatal por meio da equipagem de 737 maternidades no país, passando de 75 para 812 maternidades equipadas em funcionamento, no âmbito do Programa Viver sem Limites.</t>
    </r>
  </si>
  <si>
    <t>Maternidade equipada em funcionamento (unidade)</t>
  </si>
  <si>
    <t>0[1]</t>
  </si>
  <si>
    <t>8535 (PO 0004)</t>
  </si>
  <si>
    <r>
      <t>2.</t>
    </r>
    <r>
      <rPr>
        <sz val="7"/>
        <color theme="1"/>
        <rFont val="Times New Roman"/>
        <family val="1"/>
      </rPr>
      <t xml:space="preserve">        </t>
    </r>
    <r>
      <rPr>
        <sz val="9"/>
        <color theme="1"/>
        <rFont val="Calibri"/>
        <family val="2"/>
      </rPr>
      <t>Ampliar de 166 mil para 182 mil o número de recém-nascidos beneficiados ao ano pelo Programa de Bancos de Leite Humano no Brasil.</t>
    </r>
  </si>
  <si>
    <t>Recém-nascido beneficiado (unidade)</t>
  </si>
  <si>
    <t>214.264[2]</t>
  </si>
  <si>
    <r>
      <t>3.</t>
    </r>
    <r>
      <rPr>
        <sz val="7"/>
        <color theme="1"/>
        <rFont val="Times New Roman"/>
        <family val="1"/>
      </rPr>
      <t xml:space="preserve">        </t>
    </r>
    <r>
      <rPr>
        <sz val="9"/>
        <color theme="1"/>
        <rFont val="Calibri"/>
        <family val="2"/>
      </rPr>
      <t>Habilitar 140 novos serviços como Maternidade de Referência para Atenção à Gestação de Alto Risco (GAR).</t>
    </r>
  </si>
  <si>
    <t>Serviço de maternidade habilitado (unidade)</t>
  </si>
  <si>
    <t>19[3]</t>
  </si>
  <si>
    <r>
      <t>4.</t>
    </r>
    <r>
      <rPr>
        <sz val="7"/>
        <color theme="1"/>
        <rFont val="Times New Roman"/>
        <family val="1"/>
      </rPr>
      <t xml:space="preserve">        </t>
    </r>
    <r>
      <rPr>
        <sz val="9"/>
        <color theme="1"/>
        <rFont val="Calibri"/>
        <family val="2"/>
      </rPr>
      <t>Adequar a ambiência de 120 maternidades (reforma e aquisição de equipamentos) para a atenção humanizada ao parto e nascimento.</t>
    </r>
  </si>
  <si>
    <t>Maternidade com ambiência adequada (unidade)</t>
  </si>
  <si>
    <t>6[4]</t>
  </si>
  <si>
    <t>8535 (PO 000C)</t>
  </si>
  <si>
    <r>
      <t>5.</t>
    </r>
    <r>
      <rPr>
        <sz val="7"/>
        <color theme="1"/>
        <rFont val="Times New Roman"/>
        <family val="1"/>
      </rPr>
      <t xml:space="preserve">        </t>
    </r>
    <r>
      <rPr>
        <sz val="9"/>
        <color theme="1"/>
        <rFont val="Calibri"/>
        <family val="2"/>
      </rPr>
      <t>Implantar 20 novas Casas de Gestante, Bebê e Puérpera - CGBP.</t>
    </r>
  </si>
  <si>
    <t>CGBP implantada (unidade)</t>
  </si>
  <si>
    <t>9[5]</t>
  </si>
  <si>
    <t>8535 (PO 000C) 8585 (PO 0000)</t>
  </si>
  <si>
    <r>
      <t>6.</t>
    </r>
    <r>
      <rPr>
        <sz val="7"/>
        <color theme="1"/>
        <rFont val="Times New Roman"/>
        <family val="1"/>
      </rPr>
      <t xml:space="preserve">        </t>
    </r>
    <r>
      <rPr>
        <sz val="9"/>
        <color theme="1"/>
        <rFont val="Calibri"/>
        <family val="2"/>
      </rPr>
      <t>Implantar 60 novos Centros de Parto Normal – CPN.</t>
    </r>
  </si>
  <si>
    <r>
      <t xml:space="preserve">Centro de Parto Normal implantado </t>
    </r>
    <r>
      <rPr>
        <sz val="9"/>
        <color rgb="FF000000"/>
        <rFont val="Calibri"/>
        <family val="2"/>
      </rPr>
      <t>(unidade)</t>
    </r>
  </si>
  <si>
    <t>2[6]</t>
  </si>
  <si>
    <t>igual 2018</t>
  </si>
  <si>
    <r>
      <t>7.</t>
    </r>
    <r>
      <rPr>
        <sz val="7"/>
        <color theme="1"/>
        <rFont val="Times New Roman"/>
        <family val="1"/>
      </rPr>
      <t xml:space="preserve">        </t>
    </r>
    <r>
      <rPr>
        <sz val="9"/>
        <color theme="1"/>
        <rFont val="Calibri"/>
        <family val="2"/>
      </rPr>
      <t>Realizar 12,5 milhões de mamografias bilaterais para rastreamento do câncer de mama em mulheres de 50-69 anos.</t>
    </r>
  </si>
  <si>
    <t>Mamografia realizada (unidade)</t>
  </si>
  <si>
    <t>2.253.068[7]</t>
  </si>
  <si>
    <r>
      <t>8.</t>
    </r>
    <r>
      <rPr>
        <sz val="7"/>
        <color theme="1"/>
        <rFont val="Times New Roman"/>
        <family val="1"/>
      </rPr>
      <t xml:space="preserve">        </t>
    </r>
    <r>
      <rPr>
        <sz val="9"/>
        <color theme="1"/>
        <rFont val="Calibri"/>
        <family val="2"/>
      </rPr>
      <t>Realizar 30 milhões de exames citopatológicos para rastreamento do câncer de colo do útero em mulheres de 25-64 anos.</t>
    </r>
  </si>
  <si>
    <t>Exame citopatológico realizado (unidade)</t>
  </si>
  <si>
    <t>6.165.258[8]</t>
  </si>
  <si>
    <r>
      <t>9.</t>
    </r>
    <r>
      <rPr>
        <sz val="7"/>
        <color theme="1"/>
        <rFont val="Times New Roman"/>
        <family val="1"/>
      </rPr>
      <t xml:space="preserve">        </t>
    </r>
    <r>
      <rPr>
        <sz val="9"/>
        <color theme="1"/>
        <rFont val="Calibri"/>
        <family val="2"/>
      </rPr>
      <t>Implantar 80 soluções de radioterapia contempladas no Plano de Expansão da Radioterapia.</t>
    </r>
  </si>
  <si>
    <t>Solução de radioterapia implantada (unidade)</t>
  </si>
  <si>
    <t>21[9]</t>
  </si>
  <si>
    <t>8535 (PO 0007)</t>
  </si>
  <si>
    <r>
      <t>10.</t>
    </r>
    <r>
      <rPr>
        <sz val="7"/>
        <color theme="1"/>
        <rFont val="Times New Roman"/>
        <family val="1"/>
      </rPr>
      <t xml:space="preserve">     </t>
    </r>
    <r>
      <rPr>
        <sz val="9"/>
        <color theme="1"/>
        <rFont val="Calibri"/>
        <family val="2"/>
      </rPr>
      <t>Apoiar a implantação de 175 UPA 24h.</t>
    </r>
  </si>
  <si>
    <t>UPA em funcionamento (unidade)</t>
  </si>
  <si>
    <r>
      <t>11.</t>
    </r>
    <r>
      <rPr>
        <sz val="7"/>
        <color theme="1"/>
        <rFont val="Times New Roman"/>
        <family val="1"/>
      </rPr>
      <t xml:space="preserve">     </t>
    </r>
    <r>
      <rPr>
        <sz val="9"/>
        <color theme="1"/>
        <rFont val="Calibri"/>
        <family val="2"/>
      </rPr>
      <t>Ampliar em 2.400 o número de beneficiários do Programa de Volta para Casa - PVC, passando de 4.364 para 6.764.</t>
    </r>
  </si>
  <si>
    <t>Pessoa beneficiada (unidade)</t>
  </si>
  <si>
    <t>288[10]</t>
  </si>
  <si>
    <t>20AI</t>
  </si>
  <si>
    <r>
      <t>12.</t>
    </r>
    <r>
      <rPr>
        <sz val="7"/>
        <color theme="1"/>
        <rFont val="Times New Roman"/>
        <family val="1"/>
      </rPr>
      <t xml:space="preserve">     </t>
    </r>
    <r>
      <rPr>
        <sz val="9"/>
        <color theme="1"/>
        <rFont val="Calibri"/>
        <family val="2"/>
      </rPr>
      <t>Apoiar a implantação de 160 equipes de Consultório na Rua.</t>
    </r>
  </si>
  <si>
    <r>
      <t>Equipe de Consultório na Rua</t>
    </r>
    <r>
      <rPr>
        <sz val="9"/>
        <color rgb="FF000000"/>
        <rFont val="Calibri"/>
        <family val="2"/>
      </rPr>
      <t xml:space="preserve"> </t>
    </r>
    <r>
      <rPr>
        <sz val="9"/>
        <rFont val="Calibri"/>
        <family val="2"/>
      </rPr>
      <t xml:space="preserve">apoiada </t>
    </r>
    <r>
      <rPr>
        <sz val="9"/>
        <color rgb="FF000000"/>
        <rFont val="Calibri"/>
        <family val="2"/>
      </rPr>
      <t>(unidade)</t>
    </r>
  </si>
  <si>
    <r>
      <t>13.</t>
    </r>
    <r>
      <rPr>
        <sz val="7"/>
        <color theme="1"/>
        <rFont val="Times New Roman"/>
        <family val="1"/>
      </rPr>
      <t xml:space="preserve">     </t>
    </r>
    <r>
      <rPr>
        <sz val="9"/>
        <color theme="1"/>
        <rFont val="Calibri"/>
        <family val="2"/>
      </rPr>
      <t>Apoiar a implantação de 37 Unidades de Acolhimento Infanto-Juvenil - UAI.</t>
    </r>
  </si>
  <si>
    <t>Unidade de acolhimento infanto-juvenil (UAI) implantada (unidade)</t>
  </si>
  <si>
    <t>2[11]</t>
  </si>
  <si>
    <t>20YI (PO 000J) 8585 (PO 0000)</t>
  </si>
  <si>
    <r>
      <t>14.</t>
    </r>
    <r>
      <rPr>
        <sz val="7"/>
        <color theme="1"/>
        <rFont val="Times New Roman"/>
        <family val="1"/>
      </rPr>
      <t xml:space="preserve">     </t>
    </r>
    <r>
      <rPr>
        <sz val="9"/>
        <color theme="1"/>
        <rFont val="Calibri"/>
        <family val="2"/>
      </rPr>
      <t>Apoiar a implantação de 28 unidades de acolhimento adulto</t>
    </r>
  </si>
  <si>
    <t>Unidade de acolhimento adulto implantada (unidade)</t>
  </si>
  <si>
    <t>2[12]</t>
  </si>
  <si>
    <r>
      <t>15.</t>
    </r>
    <r>
      <rPr>
        <sz val="7"/>
        <color theme="1"/>
        <rFont val="Times New Roman"/>
        <family val="1"/>
      </rPr>
      <t xml:space="preserve">     </t>
    </r>
    <r>
      <rPr>
        <sz val="9"/>
        <color theme="1"/>
        <rFont val="Calibri"/>
        <family val="2"/>
      </rPr>
      <t>Incentivar a implantação de 480 Centros de Atenção Psicossocial (CAPS).</t>
    </r>
  </si>
  <si>
    <t>CAPS implantado (unidade)</t>
  </si>
  <si>
    <t>75[13]</t>
  </si>
  <si>
    <r>
      <t>16.</t>
    </r>
    <r>
      <rPr>
        <sz val="7"/>
        <color theme="1"/>
        <rFont val="Times New Roman"/>
        <family val="1"/>
      </rPr>
      <t xml:space="preserve">     </t>
    </r>
    <r>
      <rPr>
        <sz val="9"/>
        <color theme="1"/>
        <rFont val="Calibri"/>
        <family val="2"/>
      </rPr>
      <t>Apoiar a construção de 80 Centros de Atenção Psicossocial - CAPS III - 24 horas.</t>
    </r>
  </si>
  <si>
    <t>CAPS III 24 horas construído (unidade)</t>
  </si>
  <si>
    <t>8[14]</t>
  </si>
  <si>
    <t>8535 (PO 000B) 8585 (PO 0000)</t>
  </si>
  <si>
    <r>
      <t>17.</t>
    </r>
    <r>
      <rPr>
        <sz val="7"/>
        <color theme="1"/>
        <rFont val="Times New Roman"/>
        <family val="1"/>
      </rPr>
      <t xml:space="preserve">     </t>
    </r>
    <r>
      <rPr>
        <sz val="9"/>
        <color theme="1"/>
        <rFont val="Calibri"/>
        <family val="2"/>
      </rPr>
      <t>Apoiar a implantação de 162 novos CAPS-AD e CAPS-AD III.</t>
    </r>
  </si>
  <si>
    <t>CAPS-AD implantado (unidade)</t>
  </si>
  <si>
    <t>12[15]</t>
  </si>
  <si>
    <t>8585 (PO 0000) 20YI (PO 000J)</t>
  </si>
  <si>
    <r>
      <t>18.</t>
    </r>
    <r>
      <rPr>
        <sz val="7"/>
        <color theme="1"/>
        <rFont val="Times New Roman"/>
        <family val="1"/>
      </rPr>
      <t xml:space="preserve">     </t>
    </r>
    <r>
      <rPr>
        <sz val="9"/>
        <color theme="1"/>
        <rFont val="Calibri"/>
        <family val="2"/>
      </rPr>
      <t>Apoiar a implantação de 502 leitos de saúde mental em hospitais gerais.</t>
    </r>
  </si>
  <si>
    <t>Leito de saúde mental implantado (unidade)</t>
  </si>
  <si>
    <t>172[16]</t>
  </si>
  <si>
    <r>
      <t>19.</t>
    </r>
    <r>
      <rPr>
        <sz val="7"/>
        <color theme="1"/>
        <rFont val="Times New Roman"/>
        <family val="1"/>
      </rPr>
      <t xml:space="preserve">     </t>
    </r>
    <r>
      <rPr>
        <sz val="9"/>
        <color theme="1"/>
        <rFont val="Calibri"/>
        <family val="2"/>
      </rPr>
      <t>Incentivar a adesão de 400 Centros de Especialidades Odontológicas à Rede de Cuidados à Pessoa com Deficiência.</t>
    </r>
  </si>
  <si>
    <t>Centro de Especialidade Odontológica habilitado à Rede de Cuidados à Pessoa com Deficiência (unidade)</t>
  </si>
  <si>
    <r>
      <t>20.</t>
    </r>
    <r>
      <rPr>
        <sz val="7"/>
        <color theme="1"/>
        <rFont val="Times New Roman"/>
        <family val="1"/>
      </rPr>
      <t xml:space="preserve">     </t>
    </r>
    <r>
      <rPr>
        <sz val="9"/>
        <color theme="1"/>
        <rFont val="Calibri"/>
        <family val="2"/>
      </rPr>
      <t>Implantar 98 Centros Especializados em Reabilitação - CER, passando de 124 para 222 CER em funcionamento.</t>
    </r>
  </si>
  <si>
    <t>Centro Especializado em Reabilitação - CER implantado (unidade)</t>
  </si>
  <si>
    <t>8535 (PO 0004) 8585 (PO 0000) 20YI (PO 0006)</t>
  </si>
  <si>
    <r>
      <t>21.</t>
    </r>
    <r>
      <rPr>
        <sz val="7"/>
        <color theme="1"/>
        <rFont val="Times New Roman"/>
        <family val="1"/>
      </rPr>
      <t xml:space="preserve">     </t>
    </r>
    <r>
      <rPr>
        <sz val="9"/>
        <color theme="1"/>
        <rFont val="Calibri"/>
        <family val="2"/>
      </rPr>
      <t>Implantar 50 oficinas ortopédicas no País, passando de 24 para 74 oficinas em funcionamento.</t>
    </r>
  </si>
  <si>
    <t>Oficina Ortopédica implantada (unidade)</t>
  </si>
  <si>
    <t>8[17]</t>
  </si>
  <si>
    <t>8535 (PO 0004) 20YI (PO 0006) 8585 (PO 0000)</t>
  </si>
  <si>
    <r>
      <t>22.</t>
    </r>
    <r>
      <rPr>
        <sz val="7"/>
        <color theme="1"/>
        <rFont val="Times New Roman"/>
        <family val="1"/>
      </rPr>
      <t xml:space="preserve">     </t>
    </r>
    <r>
      <rPr>
        <sz val="9"/>
        <color theme="1"/>
        <rFont val="Calibri"/>
        <family val="2"/>
      </rPr>
      <t>Ofertar 98 novos veículos adaptados acessíveis para transporte de pessoas com deficiência, passando de 103 para 201 veículos entregues.</t>
    </r>
  </si>
  <si>
    <t>Veículo adaptado entregue (unidade)</t>
  </si>
  <si>
    <t>108[18]</t>
  </si>
  <si>
    <t>20YI (PO 0006) 8535 (PO 0004)</t>
  </si>
  <si>
    <r>
      <t>23.</t>
    </r>
    <r>
      <rPr>
        <sz val="7"/>
        <color theme="1"/>
        <rFont val="Times New Roman"/>
        <family val="1"/>
      </rPr>
      <t xml:space="preserve">     </t>
    </r>
    <r>
      <rPr>
        <sz val="9"/>
        <color theme="1"/>
        <rFont val="Calibri"/>
        <family val="2"/>
      </rPr>
      <t>Apoiar a implantação de 300 Serviços Residenciais Terapêuticos (SRT).</t>
    </r>
  </si>
  <si>
    <t>Serviço Residencial Terapêutico (SRT) implantado (unidade)</t>
  </si>
  <si>
    <t>63[19]</t>
  </si>
  <si>
    <r>
      <t>24.</t>
    </r>
    <r>
      <rPr>
        <sz val="7"/>
        <color theme="1"/>
        <rFont val="Times New Roman"/>
        <family val="1"/>
      </rPr>
      <t xml:space="preserve">     </t>
    </r>
    <r>
      <rPr>
        <sz val="9"/>
        <color theme="1"/>
        <rFont val="Calibri"/>
        <family val="2"/>
      </rPr>
      <t>Habilitar 18 unidades que realizam acompanhamento multiprofissional das pessoas com Doença Renal Crônica (DRC) nos estágios clínicos IV e V (pré dialítico).</t>
    </r>
  </si>
  <si>
    <t>Unidade Especializada com DRC habilitada (unidade)</t>
  </si>
  <si>
    <r>
      <t>25.</t>
    </r>
    <r>
      <rPr>
        <sz val="7"/>
        <color theme="1"/>
        <rFont val="Times New Roman"/>
        <family val="1"/>
      </rPr>
      <t xml:space="preserve">     </t>
    </r>
    <r>
      <rPr>
        <sz val="9"/>
        <color theme="1"/>
        <rFont val="Calibri"/>
        <family val="2"/>
      </rPr>
      <t>Elaborar e publicar 8 novas Diretrizes de Atenção à Saúde da Pessoa com Deficiência, no âmbito do Programa Viver sem Limite.</t>
    </r>
  </si>
  <si>
    <t>Diretriz de Atenção à Saúde da Pessoa com Deficiência publicada (unidade)</t>
  </si>
  <si>
    <t>3[20]</t>
  </si>
  <si>
    <t>20YI (PO 0006)</t>
  </si>
  <si>
    <t>[1] Em 2019, a ação aprovou, com propostas de aquisição de equipamentos, 214 maternidades (154 empenhadas e aguardando pagamento).</t>
  </si>
  <si>
    <t>[2] Os resultados de 2017 e 2018 foram revisados.</t>
  </si>
  <si>
    <t>[3] Em 2019 foram 19 serviços de maternidade habilitados, totalizando 182. Dado de 2018 revisado.</t>
  </si>
  <si>
    <t>[4] Atualmente 74 maternidades foram adequadas.</t>
  </si>
  <si>
    <t xml:space="preserve">[5] O dado de 2018 foi revisado. </t>
  </si>
  <si>
    <t>[6] Atualmente, há 27 Centros de Parto Normal, dos quais 15 foram implantados no período 2016-2019.</t>
  </si>
  <si>
    <t>[7] Os dados de 2017 e 2018 foram revisados. Os dados de 2019 são parciais (até novembro). De janeiro de 2016 até novembro de 2019 foram realizadas 9.902.238 mamografias bilaterais em mulheres de 50-69 anos.</t>
  </si>
  <si>
    <t>[8] Os dados dos anos anteriores foram revisados. Dados de 2019 parciais (até novembro). De janeiro de 2016 a novembro de 2019 foram realizados 26.911.063 exames citopatológicos em mulheres de 25-64 anos.</t>
  </si>
  <si>
    <t>[9] Em 2019 foram 9 soluções implantadas. Dado de 2017 foi revisado.</t>
  </si>
  <si>
    <t>[10] Até dezembro de 2019 havia 5.668 beneficiários recebendo recurso do Programa de Volta para Casa – PVC. Dados de anos anteriores revisados.</t>
  </si>
  <si>
    <t>[11] Atualmente, 24 Unidades de acolhimento infanto juvenil – UAI estão implantadas, sendo 4 no período de 2016-2019.</t>
  </si>
  <si>
    <t>[12] Atualmente, 43 Unidades de acolhimento adulto – UA estão implantadas, sendo 15 no período de 2016-2019.</t>
  </si>
  <si>
    <t>[13] Atualmente, 2.212 CAPS estão implantados, sendo 287 no período de 2016-2019.</t>
  </si>
  <si>
    <t>[14] Os resultados de 2016 e 2017 foram revisados. No período 2016-2019 foram construídos 40 CAPS III – 24 horas.</t>
  </si>
  <si>
    <t>[15] Atualmente, 457 CAPS-AD e CAPS-AD III estão implantados, sendo 54 no período de 2016-2019, considerando que ocorreu uma desabilitação em 2018.</t>
  </si>
  <si>
    <t xml:space="preserve">[16] Atualmente, 1.622 leitos de saúde mental estão implantados, sendo 627 no período 2016-2019. </t>
  </si>
  <si>
    <t>[17] Em 2019 foram implantadas 8 novas oficinas ortopédicas, totalizando 20 no período 2016-2019. Atualmente, existem 44 oficinas ortopédicas implantadas.</t>
  </si>
  <si>
    <t>[18] Até 2019, 293 veículos adaptados foram entregues, sendo 190 no período de 2016-2019.</t>
  </si>
  <si>
    <t>[19] Em 2019 foram implantados 63 novos Serviços Residenciais Terapêuticos, totalizando 322 no período 2016-2019. Atualmente, existem 684 SRT implantados no país.</t>
  </si>
  <si>
    <t>[20] Até 2019, foram publicadas 12 diretrizes.</t>
  </si>
  <si>
    <t>Objetivo 03. Promover o cuidado integral às pessoas nos ciclos de vida (criança, adolescente, jovem, adulto e idoso), considerando as questões de gênero, orientação sexual, raça/etnia, situações de vulnerabilidade, as especificidades e a diversidade na atenção básica, nas redes temáticas e nas redes de atenção à saúde</t>
  </si>
  <si>
    <t>1.        Ampliar o número das equipes de saúde de referência no atendimento a adolescentes em conflito com a lei, passando de 65 para 110 equipes implantadas. [1]</t>
  </si>
  <si>
    <t>Equipe de saúde referenciada (Unidade)</t>
  </si>
  <si>
    <t>219A (PO0001)</t>
  </si>
  <si>
    <r>
      <t>2.</t>
    </r>
    <r>
      <rPr>
        <sz val="7"/>
        <color rgb="FF000000"/>
        <rFont val="Times New Roman"/>
        <family val="1"/>
      </rPr>
      <t xml:space="preserve">        </t>
    </r>
    <r>
      <rPr>
        <sz val="9"/>
        <color rgb="FF000000"/>
        <rFont val="Calibri"/>
        <family val="2"/>
      </rPr>
      <t>Implantar 26 serviços de referência para atenção integral às pessoas em situação de violência sexual em hospitais de referência do SUS, para a realização do registro de informações e da coleta de vestígios.</t>
    </r>
  </si>
  <si>
    <t>Serviço habilitado (Unidade)</t>
  </si>
  <si>
    <t>0[2]</t>
  </si>
  <si>
    <t>20YI (PO 000F)</t>
  </si>
  <si>
    <r>
      <t>3.</t>
    </r>
    <r>
      <rPr>
        <sz val="7"/>
        <color theme="1"/>
        <rFont val="Times New Roman"/>
        <family val="1"/>
      </rPr>
      <t xml:space="preserve">        </t>
    </r>
    <r>
      <rPr>
        <sz val="9"/>
        <color theme="1"/>
        <rFont val="Calibri"/>
        <family val="2"/>
      </rPr>
      <t>Suplementar 330 mil crianças de 6 a 48 meses de idade com sachês de vitaminas e minerais, por meio da Estratégia de fortificação da alimentação infantil com micronutrientes em pó – NutriSUS, nas creches participantes do Programa Saúde na Escola, anualmente.</t>
    </r>
  </si>
  <si>
    <t>Criança suplementada (Unidade)</t>
  </si>
  <si>
    <t>20QH</t>
  </si>
  <si>
    <t xml:space="preserve">[1] A linha de base foi alterada, passando para 62 equipes de saúde referenciadas no ano de 2015. </t>
  </si>
  <si>
    <t>[2] Quatro serviços foram implantados em 2016: São Bernardo do Campo/SP, Blumenau/SC, Caxias do Sul/RS e Curitiba/PR; e dois serviços em 2017: Hospital da Mulher do Recife – Dra. Mercês Pontes Cunha/PE; e Hospital Universitário Evangélico de Curitiba/PR. Foram encontradas barreiras para habilitação dos serviços em coleta de vestígios, entre elas: falta de espaço físico para guarda de material, dificuldades de articulação com os IMLs locais; e dificuldades de sensibilização para a realização dessa modalidade de procedimento por parte dos profissionais de saúde do hospital.</t>
  </si>
  <si>
    <t>[3] A meta física realizada em 2018 foi ajustada, passando de 138.680 crianças suplementadas para 310.350 crianças suplementadas. Os dados 2019 são parciais - relativos ao monitoramento do 1º Ciclo de 2019. Os dados referentes ao 2º Ciclo de suplementação de 2019 ainda estão em fase de atualização no Sistema e-Gestor AB Micronutrientes.</t>
  </si>
  <si>
    <t>Objetivo 04. Reduzir e prevenir riscos e agravos à saúde da população, considerando os determinantes sociais, por meio das ações de vigilância, promoção e proteção, com foco na prevenção de doenças crônicas não transmissíveis, acidentes e violências, no controle das doenças transmissíveis e na promoção do envelhecimento saudável</t>
  </si>
  <si>
    <r>
      <t>1.</t>
    </r>
    <r>
      <rPr>
        <sz val="7"/>
        <color theme="1"/>
        <rFont val="Times New Roman"/>
        <family val="1"/>
      </rPr>
      <t xml:space="preserve">        </t>
    </r>
    <r>
      <rPr>
        <sz val="9"/>
        <color theme="1"/>
        <rFont val="Calibri"/>
        <family val="2"/>
      </rPr>
      <t>Ampliar para, no mínimo, 70% o percentual de municípios com cobertura vacinal adequada (95%) da vacina Pentavalente (DTP+HB+Hib) em menores de 1 ano.</t>
    </r>
  </si>
  <si>
    <t>Municípios com 95% de cobertura vacinal adequada da vacina pentavalente em menores de 1 ano (percentual)</t>
  </si>
  <si>
    <t>22,72[1]%</t>
  </si>
  <si>
    <t>inferior à meta de 70%</t>
  </si>
  <si>
    <t>19 pontos percentuais inferior ao previsto</t>
  </si>
  <si>
    <t>20YE (PO 0002)</t>
  </si>
  <si>
    <r>
      <t>2.</t>
    </r>
    <r>
      <rPr>
        <sz val="7"/>
        <color theme="1"/>
        <rFont val="Times New Roman"/>
        <family val="1"/>
      </rPr>
      <t xml:space="preserve">        </t>
    </r>
    <r>
      <rPr>
        <sz val="9"/>
        <color theme="1"/>
        <rFont val="Calibri"/>
        <family val="2"/>
      </rPr>
      <t>Garantir a aquisição de 100% dos imunobiológicos de responsabilidade do Ministério da Saúde.</t>
    </r>
  </si>
  <si>
    <t>Imunobiológico adquirido (percentual)</t>
  </si>
  <si>
    <t>90,24%[2]</t>
  </si>
  <si>
    <t>10 pontos percentuais inferior à meta</t>
  </si>
  <si>
    <t>10 pontos percentuais inferior ao previsto</t>
  </si>
  <si>
    <r>
      <t>3.</t>
    </r>
    <r>
      <rPr>
        <sz val="7"/>
        <color theme="1"/>
        <rFont val="Times New Roman"/>
        <family val="1"/>
      </rPr>
      <t xml:space="preserve">        </t>
    </r>
    <r>
      <rPr>
        <sz val="9"/>
        <color theme="1"/>
        <rFont val="Calibri"/>
        <family val="2"/>
      </rPr>
      <t>Aumentar para, no mínimo, 76% a proporção de cura de casos novos de tuberculose pulmonar diagnosticados.</t>
    </r>
  </si>
  <si>
    <t>Caso novo de tuberculose pulmonar com confirmação laboratorial curado (percentual)</t>
  </si>
  <si>
    <t>63,6%[3]</t>
  </si>
  <si>
    <t>12 pontos percentuais inferior à meta</t>
  </si>
  <si>
    <t>12 pontos percentuais inferior ao previsto</t>
  </si>
  <si>
    <t>20YJ (PO 0006)</t>
  </si>
  <si>
    <r>
      <t>4.</t>
    </r>
    <r>
      <rPr>
        <sz val="7"/>
        <color theme="1"/>
        <rFont val="Times New Roman"/>
        <family val="1"/>
      </rPr>
      <t xml:space="preserve">        </t>
    </r>
    <r>
      <rPr>
        <sz val="9"/>
        <color theme="1"/>
        <rFont val="Calibri"/>
        <family val="2"/>
      </rPr>
      <t>Aumentar para 95% a proporção de examinados entre os contatos intradomiciliares registrados dos casos novos de hanseníase diagnosticados nos anos das coortes.</t>
    </r>
  </si>
  <si>
    <t>Contato intradomiciliar examinado (percentual)</t>
  </si>
  <si>
    <t>81,4%[4]</t>
  </si>
  <si>
    <t>14 pontos percentuais inferior à meta</t>
  </si>
  <si>
    <t>20YJ (PO 0007)</t>
  </si>
  <si>
    <r>
      <t>5.</t>
    </r>
    <r>
      <rPr>
        <sz val="7"/>
        <color theme="1"/>
        <rFont val="Times New Roman"/>
        <family val="1"/>
      </rPr>
      <t xml:space="preserve">        </t>
    </r>
    <r>
      <rPr>
        <sz val="9"/>
        <color theme="1"/>
        <rFont val="Calibri"/>
        <family val="2"/>
      </rPr>
      <t>Aumentar para, no mínimo, 90% a proporção de pessoas vivendo com HIV/Aids, em tratamento há pelo menos 6 meses, com carga viral suprimida.</t>
    </r>
  </si>
  <si>
    <t>Pessoa vivendo com HIV/aids, em tratamento há pelo menos 6 meses, com carga viral suprimida (percentual)</t>
  </si>
  <si>
    <t>4 pontos percentuais superior à meta</t>
  </si>
  <si>
    <t>1,0 ponto percentual inferior ao previsto</t>
  </si>
  <si>
    <t>4370 20YE (PO 0001)</t>
  </si>
  <si>
    <r>
      <t>6.</t>
    </r>
    <r>
      <rPr>
        <sz val="7"/>
        <color theme="1"/>
        <rFont val="Times New Roman"/>
        <family val="1"/>
      </rPr>
      <t xml:space="preserve">        </t>
    </r>
    <r>
      <rPr>
        <sz val="9"/>
        <color theme="1"/>
        <rFont val="Calibri"/>
        <family val="2"/>
      </rPr>
      <t>Aumentar para, no mínimo, 80% a proporção de testagem para HIV entre casos novos de tuberculose.</t>
    </r>
  </si>
  <si>
    <t>Testagem para HIV realizado em caso novo de tuberculose diagnosticado (percentual)</t>
  </si>
  <si>
    <t>76,1%[5]</t>
  </si>
  <si>
    <t>4 pontos percentuais inferior à meta</t>
  </si>
  <si>
    <t>4 pontos percentuais inferior ao previsto</t>
  </si>
  <si>
    <t>20YE (PO 0001)</t>
  </si>
  <si>
    <r>
      <t>7.</t>
    </r>
    <r>
      <rPr>
        <sz val="7"/>
        <color theme="1"/>
        <rFont val="Times New Roman"/>
        <family val="1"/>
      </rPr>
      <t xml:space="preserve">        </t>
    </r>
    <r>
      <rPr>
        <sz val="9"/>
        <color theme="1"/>
        <rFont val="Calibri"/>
        <family val="2"/>
      </rPr>
      <t>Reduzir, para no máximo 100.000, o número de casos autóctones de malária no Brasil.</t>
    </r>
  </si>
  <si>
    <t>Caso autóctone de malária registrado (unidade)</t>
  </si>
  <si>
    <t>151.119[6]</t>
  </si>
  <si>
    <t>20YJ (PO 0002)</t>
  </si>
  <si>
    <r>
      <t>8.</t>
    </r>
    <r>
      <rPr>
        <sz val="7"/>
        <color theme="1"/>
        <rFont val="Times New Roman"/>
        <family val="1"/>
      </rPr>
      <t xml:space="preserve">        </t>
    </r>
    <r>
      <rPr>
        <sz val="9"/>
        <color theme="1"/>
        <rFont val="Calibri"/>
        <family val="2"/>
      </rPr>
      <t>Assegurar 100% das regiões de saúde com cobertura de pelo menos um Centro de Referência em Saúde do Trabalhador (Cerest).</t>
    </r>
  </si>
  <si>
    <t>Região de saúde com cobertura de pelo menos um Cerest (percentual)</t>
  </si>
  <si>
    <t>26 pontos percentuais inferior à meta</t>
  </si>
  <si>
    <t>6 pontos percentuais inferior ao previsto</t>
  </si>
  <si>
    <r>
      <t>9.</t>
    </r>
    <r>
      <rPr>
        <sz val="7"/>
        <color theme="1"/>
        <rFont val="Times New Roman"/>
        <family val="1"/>
      </rPr>
      <t xml:space="preserve">        </t>
    </r>
    <r>
      <rPr>
        <sz val="9"/>
        <color theme="1"/>
        <rFont val="Calibri"/>
        <family val="2"/>
      </rPr>
      <t>Reduzir a prevalência de uso do tabaco para 9,6%.</t>
    </r>
  </si>
  <si>
    <t>Prevalência alcançada (percentual)</t>
  </si>
  <si>
    <t>9,3%[7]</t>
  </si>
  <si>
    <t>0,3 pontos percentuais inferior à meta</t>
  </si>
  <si>
    <t>0,3 pontos percentuais inferior ao previsto</t>
  </si>
  <si>
    <t>20YJ (PO 000G)</t>
  </si>
  <si>
    <r>
      <t>10.</t>
    </r>
    <r>
      <rPr>
        <sz val="7"/>
        <color theme="1"/>
        <rFont val="Times New Roman"/>
        <family val="1"/>
      </rPr>
      <t xml:space="preserve">     </t>
    </r>
    <r>
      <rPr>
        <sz val="9"/>
        <color theme="1"/>
        <rFont val="Calibri"/>
        <family val="2"/>
      </rPr>
      <t>Custear 3.500 pólos do Programa Academia da Saúde.</t>
    </r>
  </si>
  <si>
    <t>Polo do Programa Academia da Saúde custeado (unidade)</t>
  </si>
  <si>
    <t>1.478[8]</t>
  </si>
  <si>
    <t>217U</t>
  </si>
  <si>
    <r>
      <t>11.</t>
    </r>
    <r>
      <rPr>
        <sz val="7"/>
        <color theme="1"/>
        <rFont val="Times New Roman"/>
        <family val="1"/>
      </rPr>
      <t xml:space="preserve">     </t>
    </r>
    <r>
      <rPr>
        <sz val="9"/>
        <color theme="1"/>
        <rFont val="Calibri"/>
        <family val="2"/>
      </rPr>
      <t>Reduzir o consumo regular de refrigerante e suco artificial de 20,8% para 14% da população, por meio de ações articuladas no âmbito da Câmara Interministerial de Segurança Alimentar e Nutricional (CAISAN)</t>
    </r>
  </si>
  <si>
    <t>População com mais de 18 anos residentes nas 26 capitais e DF consumindo refrigerante e suco artificial cinco ou mais dias por semana (percentual)</t>
  </si>
  <si>
    <t>14,4%[9]</t>
  </si>
  <si>
    <t>0,4 pontos percentuais superior à meta</t>
  </si>
  <si>
    <t>0,4 pontos percentuais superior ao previsto</t>
  </si>
  <si>
    <r>
      <t>12.</t>
    </r>
    <r>
      <rPr>
        <sz val="7"/>
        <color theme="1"/>
        <rFont val="Times New Roman"/>
        <family val="1"/>
      </rPr>
      <t xml:space="preserve">     </t>
    </r>
    <r>
      <rPr>
        <sz val="9"/>
        <color theme="1"/>
        <rFont val="Calibri"/>
        <family val="2"/>
      </rPr>
      <t>Ampliar de 36,5% para 43% o percentual de adultos que consomem frutas e hortaliças regularmente, por meio de ações articuladas no âmbito da Câmara Interministerial de Segurança Alimentar e Nutricional (CAISAN)</t>
    </r>
  </si>
  <si>
    <t>População com mais de 18 anos residentes nas 26 capitais e DF consumindo frutas e hortaliças regularmente em cinco ou mais dias por semana (percentual)</t>
  </si>
  <si>
    <t>9 pontos percentuais inferior à meta</t>
  </si>
  <si>
    <t>9 pontos percentuais inferior ao previsto</t>
  </si>
  <si>
    <r>
      <t>13.</t>
    </r>
    <r>
      <rPr>
        <sz val="7"/>
        <color theme="1"/>
        <rFont val="Times New Roman"/>
        <family val="1"/>
      </rPr>
      <t xml:space="preserve">     </t>
    </r>
    <r>
      <rPr>
        <sz val="9"/>
        <color theme="1"/>
        <rFont val="Calibri"/>
        <family val="2"/>
      </rPr>
      <t>Deter o crescimento da obesidade na população adulta, por meio de ações articuladas no âmbito da Câmara Interministerial de Segurança Alimentar e Nutricional (CAISAN)</t>
    </r>
  </si>
  <si>
    <t>Adultos com obesidade (IMC maior que 30), para monitorar a meta de conter o crescimento desta prevalência (percentual)</t>
  </si>
  <si>
    <t>&lt;= 52,5%</t>
  </si>
  <si>
    <t>Não ultrapassar 52,5% da população adulta com excesso de peso.</t>
  </si>
  <si>
    <t>Não ultrapassar 17,9% da população adulta com obesidade</t>
  </si>
  <si>
    <t>19,8%[10]</t>
  </si>
  <si>
    <t>2 pontos percentuais superior à meta</t>
  </si>
  <si>
    <t>2 pontos percentuais superior ao previsto</t>
  </si>
  <si>
    <r>
      <t>14.</t>
    </r>
    <r>
      <rPr>
        <sz val="7"/>
        <color theme="1"/>
        <rFont val="Times New Roman"/>
        <family val="1"/>
      </rPr>
      <t xml:space="preserve">     </t>
    </r>
    <r>
      <rPr>
        <sz val="9"/>
        <color theme="1"/>
        <rFont val="Calibri"/>
        <family val="2"/>
      </rPr>
      <t>Reduzir em 50% o número de casos novos de beribéri notificados, por meio de ações articuladas no âmbito da Câmara Interministerial de Segurança Alimentar e Nutricional (Caisan)</t>
    </r>
  </si>
  <si>
    <t>Casos novo de beribéri notificado (percentual)</t>
  </si>
  <si>
    <t>0% (37 casos)</t>
  </si>
  <si>
    <t>20% (23 casos)</t>
  </si>
  <si>
    <r>
      <t>0</t>
    </r>
    <r>
      <rPr>
        <vertAlign val="superscript"/>
        <sz val="9"/>
        <color rgb="FF000000"/>
        <rFont val="Calibri"/>
        <family val="2"/>
      </rPr>
      <t xml:space="preserve"> </t>
    </r>
    <r>
      <rPr>
        <sz val="9"/>
        <color rgb="FF000000"/>
        <rFont val="Calibri"/>
        <family val="2"/>
      </rPr>
      <t>(45 casos)</t>
    </r>
  </si>
  <si>
    <t>22 (35% de redução)</t>
  </si>
  <si>
    <t>54%  (15 casos)</t>
  </si>
  <si>
    <t>16 pontos percentuais superior à meta</t>
  </si>
  <si>
    <t>16 pontos percentuais superior ao previsto</t>
  </si>
  <si>
    <t>(17 casos)</t>
  </si>
  <si>
    <t>(11 casos)[11]</t>
  </si>
  <si>
    <r>
      <t>15.</t>
    </r>
    <r>
      <rPr>
        <sz val="7"/>
        <color theme="1"/>
        <rFont val="Times New Roman"/>
        <family val="1"/>
      </rPr>
      <t xml:space="preserve">     </t>
    </r>
    <r>
      <rPr>
        <sz val="9"/>
        <color theme="1"/>
        <rFont val="Calibri"/>
        <family val="2"/>
      </rPr>
      <t>Executar ações de apoio ao controle da qualidade da água para consumo humano em 2.000 municípios.</t>
    </r>
  </si>
  <si>
    <t>Município apoiado (unidade)</t>
  </si>
  <si>
    <t>20Q8 20AF</t>
  </si>
  <si>
    <r>
      <t>16.</t>
    </r>
    <r>
      <rPr>
        <sz val="7"/>
        <color theme="1"/>
        <rFont val="Times New Roman"/>
        <family val="1"/>
      </rPr>
      <t xml:space="preserve">     </t>
    </r>
    <r>
      <rPr>
        <sz val="9"/>
        <color theme="1"/>
        <rFont val="Calibri"/>
        <family val="2"/>
      </rPr>
      <t>Ampliar de 26,79 para 26,90 milhões o número domicílios urbanos com renda de até três salários mínimos mensais, que possuem unidades hidrossanitárias.</t>
    </r>
  </si>
  <si>
    <t>Domicílio urbano, com renda de até três salários mínimos, beneficiado (unidade)</t>
  </si>
  <si>
    <t>Não informado</t>
  </si>
  <si>
    <t>5.117 [12]</t>
  </si>
  <si>
    <r>
      <t>17.</t>
    </r>
    <r>
      <rPr>
        <sz val="7"/>
        <color theme="1"/>
        <rFont val="Times New Roman"/>
        <family val="1"/>
      </rPr>
      <t xml:space="preserve">     </t>
    </r>
    <r>
      <rPr>
        <sz val="9"/>
        <color theme="1"/>
        <rFont val="Calibri"/>
        <family val="2"/>
      </rPr>
      <t>Ampliar em 30 mil o número de domicílios rurais abastecidos por rede de distribuição ou poço ou nascente com canalização interna.</t>
    </r>
  </si>
  <si>
    <t>Domicílio rural abastecido (unidade)</t>
  </si>
  <si>
    <t>4.591[13]</t>
  </si>
  <si>
    <r>
      <t>18.</t>
    </r>
    <r>
      <rPr>
        <sz val="7"/>
        <color theme="1"/>
        <rFont val="Times New Roman"/>
        <family val="1"/>
      </rPr>
      <t xml:space="preserve">     </t>
    </r>
    <r>
      <rPr>
        <sz val="9"/>
        <color theme="1"/>
        <rFont val="Calibri"/>
        <family val="2"/>
      </rPr>
      <t>Ampliar em 20 mil o número de domicílios rurais servidos por rede coletora ou fossa séptica para os excretas ou esgotos sanitários.</t>
    </r>
  </si>
  <si>
    <t>Domicílio rural servido (unidade)</t>
  </si>
  <si>
    <r>
      <t>19.</t>
    </r>
    <r>
      <rPr>
        <sz val="7"/>
        <color theme="1"/>
        <rFont val="Times New Roman"/>
        <family val="1"/>
      </rPr>
      <t xml:space="preserve">     </t>
    </r>
    <r>
      <rPr>
        <sz val="9"/>
        <color theme="1"/>
        <rFont val="Calibri"/>
        <family val="2"/>
      </rPr>
      <t>Ampliar em 10 mil o número domicílios rurais, com renda de até três salários mínimos mensais, que possuem unidades hidrossanitárias.</t>
    </r>
  </si>
  <si>
    <t>Domicílio rural atendido (unidade)</t>
  </si>
  <si>
    <r>
      <t>20.</t>
    </r>
    <r>
      <rPr>
        <sz val="7"/>
        <color theme="1"/>
        <rFont val="Times New Roman"/>
        <family val="1"/>
      </rPr>
      <t xml:space="preserve">     </t>
    </r>
    <r>
      <rPr>
        <sz val="9"/>
        <color theme="1"/>
        <rFont val="Calibri"/>
        <family val="2"/>
      </rPr>
      <t>Executar ações de apoio ao controle da qualidade da água para consumo humano em 3.000 Comunidades Rurais e Tradicionais.</t>
    </r>
  </si>
  <si>
    <t>Comunidade tradicional e área rural apoiada (unidade)</t>
  </si>
  <si>
    <t>[1] As informações referentes aos anos de 2016, 2017 e 2018 foram atualizadas com dados fechados. Embora os dados de 2019 sejam preliminares, de fato houve uma redução na distribuição de vacinas em virtude de problemas na qualidade dos lotes de fornecidos pelo laboratório “Biological E” o que afetou a desempenho da meta.</t>
  </si>
  <si>
    <t>[2] Até 31 de dezembro de 2019 foram celebrados 37 de 41 contratos para aquisição dos imunobiológicos em virtude de dificuldades na celebração de contratos.</t>
  </si>
  <si>
    <t>[3] Para avaliar o ano corrente, utilizam-se casos diagnosticados em 2018, uma vez que os desfechos dos tratamentos desses casos aconteceram em 2019.</t>
  </si>
  <si>
    <t>[4] As informações referentes aos anos de 2016, 2017 e 2018 foram atualizadas com dados fechados. Entretanto, o de 2019 é ainda preliminar.</t>
  </si>
  <si>
    <t>[5] Dados preliminares. Dados de 2016 a 2018 revisados.</t>
  </si>
  <si>
    <t>[6] As informações referentes aos anos de 2017 e 2018 foram atualizadas com dados fechados. Entretanto, o de 2019 é ainda preliminar.</t>
  </si>
  <si>
    <t>[7] O dado apresentado refere-se ao ano de 2018, conforme VIGITEL 2018, publicado em 2019. As informações referentes ao exercício de 2019 serão divulgados em 2020.</t>
  </si>
  <si>
    <t>[8] Aspectos como a pouca expertise entre os gestores e profissionais da saúde para a implementação do Programa Academia da Saúde e a necessidade de se aprovar um Termo de Execução Descentralizada (TED) com o intuito de promover a qualificação dos gestores do programa nos entes federativos interferiram no desempenho da meta.</t>
  </si>
  <si>
    <t>[9] O dado apresentado refere-se ao ano de 2018, conforme VIGITEL 2018, publicado em 2019. As informações referentes ao exercício de 2019 serão divulgados em 2020.</t>
  </si>
  <si>
    <t>[10] Dados do Vigitel 2018 demonstram que a obesidade aumentou de 18,9%, em 2015, para 19,8% em 2018; no entanto, manteve-se estável em relação aos dados de 2015, 2016 e 2017.  O produto e a meta da PAS 2019 foram revisados para retratarem o indicador de prevalência de obesidade e corrigir o erro de anos anteriores que considerou o índice de  excesso de peso.</t>
  </si>
  <si>
    <t>[11] Em 2019, houve uma redução no número de casos de beribéri registrados em relação aos 33 casos identificados em 2015, linha de base da meta. Nos anos de 2016 e 2017 foram registrados aumento dos casos com uma redução significativa a partir de 2018..</t>
  </si>
  <si>
    <t>[12] A Funasa publicou em 4 de dezembro de 2019 a instituição de Processo Seletivo para execução de ações de Melhorias Sanitárias Domiciliares em áreas urbanas e Melhorias Habitacionais para o Controle da Doença de Chagas (Portaria Funasa n° 9.637, de 3 de dezembro de 2019).</t>
  </si>
  <si>
    <t>[13] A Funasa publicou em 4 de dezembro de 2019 a instituição de Processo Seletivo para execução de Obras de Abastecimento de Água, de Sistemas Públicos de Esgotamento Sanitário e de Melhorias Sanitárias Domiciliares e/ou coletivas de pequeno porte em áreas rurais e comunidades tradicionais, fora do perímetro urbano, definido por lei municipal, e em comunidades quilombolas certificadas e/ou tituladas (Portaria Funasa n° 9.636, de 3 de dezembro de 2019).</t>
  </si>
  <si>
    <t>Objetivo 05. Promover a atenção à saúde dos povos indígenas, aprimorando as ações de atenção básica e de saneamento básico nas aldeias, observando as práticas de saúde e os saberes tradicionais, e articulando com os demais gestores do SUS para prover ações complementares e especializadas, com controle social.</t>
  </si>
  <si>
    <t>Realizada[1]</t>
  </si>
  <si>
    <r>
      <t>1.</t>
    </r>
    <r>
      <rPr>
        <sz val="7"/>
        <color theme="1"/>
        <rFont val="Times New Roman"/>
        <family val="1"/>
      </rPr>
      <t xml:space="preserve">        </t>
    </r>
    <r>
      <rPr>
        <sz val="9"/>
        <color theme="1"/>
        <rFont val="Calibri"/>
        <family val="2"/>
      </rPr>
      <t>Ampliar de 76% em 2014 para 85% as crianças menores de 5 anos com esquema vacinal completo de acordo com o calendário indígena de vacinação</t>
    </r>
  </si>
  <si>
    <t>Criança com esquema vacinal completo (percentual)</t>
  </si>
  <si>
    <t>20YP</t>
  </si>
  <si>
    <r>
      <t>2.</t>
    </r>
    <r>
      <rPr>
        <sz val="7"/>
        <color theme="1"/>
        <rFont val="Times New Roman"/>
        <family val="1"/>
      </rPr>
      <t xml:space="preserve">        </t>
    </r>
    <r>
      <rPr>
        <sz val="9"/>
        <color theme="1"/>
        <rFont val="Calibri"/>
        <family val="2"/>
      </rPr>
      <t>Ampliar de 83% em 2013 para 90% as gestantes indígenas com acesso ao pré-natal</t>
    </r>
  </si>
  <si>
    <t>Gestante indígena com acesso ao pré-natal (percentual)</t>
  </si>
  <si>
    <r>
      <t>3.</t>
    </r>
    <r>
      <rPr>
        <sz val="7"/>
        <color theme="1"/>
        <rFont val="Times New Roman"/>
        <family val="1"/>
      </rPr>
      <t xml:space="preserve">        </t>
    </r>
    <r>
      <rPr>
        <sz val="9"/>
        <color theme="1"/>
        <rFont val="Calibri"/>
        <family val="2"/>
      </rPr>
      <t>Alcançar 70% das crianças indígenas menores de 1 ano com acesso às consultas preconizadas de crescimento e desenvolvimento</t>
    </r>
  </si>
  <si>
    <t>Criança indígena menor de 1 ano com acesso às consultas preconizadas (percentual)</t>
  </si>
  <si>
    <t>0%[2]</t>
  </si>
  <si>
    <t>9,5%[3]</t>
  </si>
  <si>
    <t>40 pontos percentuais inferior à meta</t>
  </si>
  <si>
    <t>27 pontos percentuais inferior ao previsto</t>
  </si>
  <si>
    <r>
      <t>4.</t>
    </r>
    <r>
      <rPr>
        <sz val="7"/>
        <color theme="1"/>
        <rFont val="Times New Roman"/>
        <family val="1"/>
      </rPr>
      <t xml:space="preserve">        </t>
    </r>
    <r>
      <rPr>
        <sz val="9"/>
        <color theme="1"/>
        <rFont val="Calibri"/>
        <family val="2"/>
      </rPr>
      <t>Ampliar de 38,6% em 2014 para 60% a cobertura da população indígena com Primeira Consulta Odontológica Programática</t>
    </r>
  </si>
  <si>
    <t>População indígena com primeira consulta odontológica programática realizada (percentual)</t>
  </si>
  <si>
    <t>14 pontos percentuais inferior ao previsto</t>
  </si>
  <si>
    <r>
      <t>5.</t>
    </r>
    <r>
      <rPr>
        <sz val="7"/>
        <color theme="1"/>
        <rFont val="Times New Roman"/>
        <family val="1"/>
      </rPr>
      <t xml:space="preserve">        </t>
    </r>
    <r>
      <rPr>
        <sz val="9"/>
        <color theme="1"/>
        <rFont val="Calibri"/>
        <family val="2"/>
      </rPr>
      <t>Ampliar de 68% em 2014 para 90% as crianças indígenas menores de 5 anos acompanhadas pela vigilância alimentar e nutricional</t>
    </r>
  </si>
  <si>
    <t>Criança indígena, menor de 5 anos, atendida pela vigilância alimentar e nutricional (Percentual)</t>
  </si>
  <si>
    <t>6 pontos percentuais inferior à meta</t>
  </si>
  <si>
    <r>
      <t>6.</t>
    </r>
    <r>
      <rPr>
        <sz val="7"/>
        <color theme="1"/>
        <rFont val="Times New Roman"/>
        <family val="1"/>
      </rPr>
      <t xml:space="preserve">        </t>
    </r>
    <r>
      <rPr>
        <sz val="9"/>
        <color theme="1"/>
        <rFont val="Calibri"/>
        <family val="2"/>
      </rPr>
      <t>Reformar e/ou ampliar 11 Casas de Saúde Indígena (CASAI)</t>
    </r>
  </si>
  <si>
    <t>Casa de Saúde Indígena com obra de reforma/ampliação concluída (unidade)</t>
  </si>
  <si>
    <r>
      <t>7.</t>
    </r>
    <r>
      <rPr>
        <sz val="7"/>
        <color theme="1"/>
        <rFont val="Times New Roman"/>
        <family val="1"/>
      </rPr>
      <t xml:space="preserve">        </t>
    </r>
    <r>
      <rPr>
        <sz val="9"/>
        <color theme="1"/>
        <rFont val="Calibri"/>
        <family val="2"/>
      </rPr>
      <t>Reformar e/ou ampliar 250 sistemas de abastecimentos de água em aldeias</t>
    </r>
  </si>
  <si>
    <t>Sistema de Abastecimento de Água com obra de reforma/ampliação concluída (unidade)</t>
  </si>
  <si>
    <r>
      <t>8.</t>
    </r>
    <r>
      <rPr>
        <sz val="7"/>
        <color theme="1"/>
        <rFont val="Times New Roman"/>
        <family val="1"/>
      </rPr>
      <t xml:space="preserve">        </t>
    </r>
    <r>
      <rPr>
        <sz val="9"/>
        <color theme="1"/>
        <rFont val="Calibri"/>
        <family val="2"/>
      </rPr>
      <t>Implantar 281 sistemas de abastecimento de água em aldeias com população acima de 50 habitantes</t>
    </r>
  </si>
  <si>
    <t>Sistema de abastecimento de água concluído e em funcionamento (unidade)</t>
  </si>
  <si>
    <r>
      <t>9.</t>
    </r>
    <r>
      <rPr>
        <sz val="7"/>
        <color theme="1"/>
        <rFont val="Times New Roman"/>
        <family val="1"/>
      </rPr>
      <t xml:space="preserve">        </t>
    </r>
    <r>
      <rPr>
        <sz val="9"/>
        <color theme="1"/>
        <rFont val="Calibri"/>
        <family val="2"/>
      </rPr>
      <t>Implantar em 148 aldeias a destinação final adequada dos dejetos</t>
    </r>
  </si>
  <si>
    <t>Aldeia com destinação final adequada dos dejetos implantada (unidade)</t>
  </si>
  <si>
    <t>[1] Os resultados aferidos nas metas de 1 a 5 são dados preliminares.</t>
  </si>
  <si>
    <t xml:space="preserve">[2] Dado revisado. </t>
  </si>
  <si>
    <t>[3] A redução do resultado alcançado motiva-se pelo fato do monitoramento das informações por meio do SIASI ter inicado em 2017 e porque muitos DSEI ainda não possuíam ações sistemáticas para realização das consultas de C&amp;D e, ainda, relataram dificuldades para compreensão do método de cálculo do resultado de acompanhamento das consultas.</t>
  </si>
  <si>
    <t>Objetivo 06. Ampliar o acesso da população a medicamentos, promover o uso racional e qualificar a assistência farmacêutica no âmbito do SUS.</t>
  </si>
  <si>
    <t xml:space="preserve">Produto / Unidade de Medida </t>
  </si>
  <si>
    <r>
      <t>1.</t>
    </r>
    <r>
      <rPr>
        <sz val="7"/>
        <color theme="1"/>
        <rFont val="Times New Roman"/>
        <family val="1"/>
      </rPr>
      <t xml:space="preserve">        </t>
    </r>
    <r>
      <rPr>
        <sz val="9"/>
        <color theme="1"/>
        <rFont val="Calibri"/>
        <family val="2"/>
      </rPr>
      <t>Ampliar o "Aqui Tem Farmácia Popular" para pelo menos 83% dos municípios brasileiros que possuam farmácias e drogarias, priorizando os municípios do Plano Brasil Sem Miséria e do Programa Mais Médicos.</t>
    </r>
  </si>
  <si>
    <t>Município com farmácia ou drogaria credenciada (percentual)</t>
  </si>
  <si>
    <t>20YR 20YS</t>
  </si>
  <si>
    <r>
      <t>2.</t>
    </r>
    <r>
      <rPr>
        <sz val="7"/>
        <color theme="1"/>
        <rFont val="Times New Roman"/>
        <family val="1"/>
      </rPr>
      <t xml:space="preserve">        </t>
    </r>
    <r>
      <rPr>
        <sz val="9"/>
        <color theme="1"/>
        <rFont val="Calibri"/>
        <family val="2"/>
      </rPr>
      <t>Disponibilizar 3,0 UI de Fator VIII per capita (hemofilia A) e 0,8 UI de Fator IX per capita (hemofilia B), por ano, para atendimento aos pacientes portadores de doenças hemorrágicas hereditárias.</t>
    </r>
  </si>
  <si>
    <t>Fator VIII e Fator IX disponibilizados (Unidade Internacional – UI)</t>
  </si>
  <si>
    <t>3 UI de Fator VIII e 0,8 UI de Fator IX</t>
  </si>
  <si>
    <t>3,35 UI’s Fator VIII e 0,56 UI’s Fator IX</t>
  </si>
  <si>
    <t>3,0 UI de Fator VIII</t>
  </si>
  <si>
    <t>3,96 UI Fator VIII e 0,65 UI Fator IX</t>
  </si>
  <si>
    <t>4,0 UI de Fator VIII e 0,69 UI de Fator IX</t>
  </si>
  <si>
    <t>4,62 UI de Fator VIII e 0,63 UI de Fator IX</t>
  </si>
  <si>
    <t>e 0,8 UI de Fator IX</t>
  </si>
  <si>
    <r>
      <t>3.</t>
    </r>
    <r>
      <rPr>
        <sz val="7"/>
        <color theme="1"/>
        <rFont val="Times New Roman"/>
        <family val="1"/>
      </rPr>
      <t xml:space="preserve">        </t>
    </r>
    <r>
      <rPr>
        <sz val="9"/>
        <color theme="1"/>
        <rFont val="Calibri"/>
        <family val="2"/>
      </rPr>
      <t>Disponibilizar 100% dos medicamentos e insumos estratégicos adquiridos pelo Ministério da Saúde.</t>
    </r>
  </si>
  <si>
    <t>Medicamento e insumo estratégico distribuído (percentual)</t>
  </si>
  <si>
    <t>4368 20AE 4705</t>
  </si>
  <si>
    <r>
      <t>4.</t>
    </r>
    <r>
      <rPr>
        <sz val="7"/>
        <color theme="1"/>
        <rFont val="Times New Roman"/>
        <family val="1"/>
      </rPr>
      <t xml:space="preserve">        </t>
    </r>
    <r>
      <rPr>
        <sz val="9"/>
        <color theme="1"/>
        <rFont val="Calibri"/>
        <family val="2"/>
      </rPr>
      <t>Ampliar para pelo menos 60,32% a aquisição de medicamentos produzidos pela rede de laboratórios públicos destinados ao tratamento de doenças de perfil endêmico selecionadas.</t>
    </r>
  </si>
  <si>
    <t>Medicamento adquirido dos laboratórios públicos (percentual)</t>
  </si>
  <si>
    <t>21 pontos percentuais inferior à meta</t>
  </si>
  <si>
    <t>14 pontos percentuais superior ao previsto</t>
  </si>
  <si>
    <t>4368 20AE</t>
  </si>
  <si>
    <r>
      <t>5.</t>
    </r>
    <r>
      <rPr>
        <sz val="7"/>
        <color theme="1"/>
        <rFont val="Times New Roman"/>
        <family val="1"/>
      </rPr>
      <t xml:space="preserve">        </t>
    </r>
    <r>
      <rPr>
        <sz val="9"/>
        <color theme="1"/>
        <rFont val="Calibri"/>
        <family val="2"/>
      </rPr>
      <t>Implantar o Programa Nacional de Qualificação da Assistência Farmacêutica (Qualifar-SUS) em 63,09% dos municípios brasileiros.</t>
    </r>
  </si>
  <si>
    <t>Município com o Programa implantado (percentual)</t>
  </si>
  <si>
    <t>28,4%[1]</t>
  </si>
  <si>
    <t>20AH</t>
  </si>
  <si>
    <t>[1] Dados de 2016 e 2017 revisados.</t>
  </si>
  <si>
    <t xml:space="preserve">Objetivo 07. Promover a produção e a disseminação do conhecimento científico e tecnológico, análises de situação de saúde, inovação em saúde e a expansão da produção nacional de tecnologias estratégicas para o SUS. </t>
  </si>
  <si>
    <r>
      <t>1.</t>
    </r>
    <r>
      <rPr>
        <sz val="7"/>
        <color theme="1"/>
        <rFont val="Times New Roman"/>
        <family val="1"/>
      </rPr>
      <t xml:space="preserve">        </t>
    </r>
    <r>
      <rPr>
        <sz val="9"/>
        <color theme="1"/>
        <rFont val="Calibri"/>
        <family val="2"/>
      </rPr>
      <t>Ampliar de 1 para 9 o número de internalizações de tecnologias no SUS, produzidas por meio de parcerias para o desenvolvimento produtivo (PDP).</t>
    </r>
  </si>
  <si>
    <t>Tecnologia internalizada no SUS (unidade)</t>
  </si>
  <si>
    <t>2[1]</t>
  </si>
  <si>
    <r>
      <t>2.</t>
    </r>
    <r>
      <rPr>
        <sz val="7"/>
        <color theme="1"/>
        <rFont val="Times New Roman"/>
        <family val="1"/>
      </rPr>
      <t xml:space="preserve">        </t>
    </r>
    <r>
      <rPr>
        <sz val="9"/>
        <color theme="1"/>
        <rFont val="Calibri"/>
        <family val="2"/>
      </rPr>
      <t>Implementar o Acordo de Compensação Tecnológica (ACT), incluindo a construção de fábrica de aceleradores lineares, no âmbito do Plano de Expansão da Radioterapia no Sistema Único de Saúde (SUS).</t>
    </r>
  </si>
  <si>
    <t>ACT implementado (percentual)</t>
  </si>
  <si>
    <r>
      <t>3.</t>
    </r>
    <r>
      <rPr>
        <sz val="7"/>
        <color theme="1"/>
        <rFont val="Times New Roman"/>
        <family val="1"/>
      </rPr>
      <t xml:space="preserve">        </t>
    </r>
    <r>
      <rPr>
        <sz val="9"/>
        <color theme="1"/>
        <rFont val="Calibri"/>
        <family val="2"/>
      </rPr>
      <t>Desenvolver e/ou absorver através de Parcerias de Desenvolvimento Produtivo (PDP) 8 novos medicamentos.</t>
    </r>
  </si>
  <si>
    <t>Medicamento desenvolvido e/ou absorvido (unidade)</t>
  </si>
  <si>
    <r>
      <t>4.</t>
    </r>
    <r>
      <rPr>
        <sz val="7"/>
        <color theme="1"/>
        <rFont val="Times New Roman"/>
        <family val="1"/>
      </rPr>
      <t xml:space="preserve">        </t>
    </r>
    <r>
      <rPr>
        <sz val="9"/>
        <color theme="1"/>
        <rFont val="Calibri"/>
        <family val="2"/>
      </rPr>
      <t>Ampliar de 13 para pelo menos 18 o número de parques produtivos apoiados por meio do Programa para o Desenvolvimento do Complexo Industrial da Saúde (PROCIS).</t>
    </r>
  </si>
  <si>
    <t>Parque produtivo apoiado (unidade)</t>
  </si>
  <si>
    <t>11[2]</t>
  </si>
  <si>
    <t>8636 20K7</t>
  </si>
  <si>
    <r>
      <t>5.</t>
    </r>
    <r>
      <rPr>
        <sz val="7"/>
        <color theme="1"/>
        <rFont val="Times New Roman"/>
        <family val="1"/>
      </rPr>
      <t xml:space="preserve">        </t>
    </r>
    <r>
      <rPr>
        <sz val="9"/>
        <color theme="1"/>
        <rFont val="Calibri"/>
        <family val="2"/>
      </rPr>
      <t>Fomentar pesquisas científicas, tecnológicas e a inovação voltadas para a melhoria das condições de saúde da população brasileira e para o aprimoramento dos mecanismos e ferramentas de gestão, regulação e atenção à saúde no âmbito do SUS.</t>
    </r>
  </si>
  <si>
    <t>Pesquisa fomentada (unidade)</t>
  </si>
  <si>
    <t>6146 2B42</t>
  </si>
  <si>
    <r>
      <t>6.</t>
    </r>
    <r>
      <rPr>
        <sz val="7"/>
        <color theme="1"/>
        <rFont val="Times New Roman"/>
        <family val="1"/>
      </rPr>
      <t xml:space="preserve">        </t>
    </r>
    <r>
      <rPr>
        <sz val="9"/>
        <color theme="1"/>
        <rFont val="Calibri"/>
        <family val="2"/>
      </rPr>
      <t>Iniciar pelo menos 4 projetos de parcerias de pesquisa, desenvolvimento e inovação (P,D&amp;I), no âmbito das novas parcerias para o desenvolvimento produtivo (PDP).</t>
    </r>
  </si>
  <si>
    <t>Projeto de P,D&amp;I iniciado (unidade)</t>
  </si>
  <si>
    <r>
      <t>7.</t>
    </r>
    <r>
      <rPr>
        <sz val="7"/>
        <color theme="1"/>
        <rFont val="Times New Roman"/>
        <family val="1"/>
      </rPr>
      <t xml:space="preserve">        </t>
    </r>
    <r>
      <rPr>
        <sz val="9"/>
        <color theme="1"/>
        <rFont val="Calibri"/>
        <family val="2"/>
      </rPr>
      <t>Realizar 465 pesquisas na área de meio ambiente e medicina tropical.</t>
    </r>
  </si>
  <si>
    <t>Pesquisa em andamento/iniciada (unidade)</t>
  </si>
  <si>
    <t>20QF</t>
  </si>
  <si>
    <r>
      <t>8.</t>
    </r>
    <r>
      <rPr>
        <sz val="7"/>
        <color theme="1"/>
        <rFont val="Times New Roman"/>
        <family val="1"/>
      </rPr>
      <t xml:space="preserve">        </t>
    </r>
    <r>
      <rPr>
        <sz val="9"/>
        <color theme="1"/>
        <rFont val="Calibri"/>
        <family val="2"/>
      </rPr>
      <t>Elaborar e/ou revisar 50 protocolos clínicos e diretrizes terapêuticas (PCDT) para a produção do cuidado em saúde.</t>
    </r>
  </si>
  <si>
    <t>PCDT elaborados/revisados (unidade)</t>
  </si>
  <si>
    <t>23[3]</t>
  </si>
  <si>
    <t>20K3</t>
  </si>
  <si>
    <r>
      <t>9.</t>
    </r>
    <r>
      <rPr>
        <sz val="7"/>
        <color theme="1"/>
        <rFont val="Times New Roman"/>
        <family val="1"/>
      </rPr>
      <t xml:space="preserve">        </t>
    </r>
    <r>
      <rPr>
        <sz val="9"/>
        <color theme="1"/>
        <rFont val="Calibri"/>
        <family val="2"/>
      </rPr>
      <t>Disponibilizar 220 mil litros anuais de plasma para uso industrial e produção de medicamentos hemoderivados pela Hemobrás.</t>
    </r>
  </si>
  <si>
    <t>Plasma disponibilizado (litros)</t>
  </si>
  <si>
    <t>0[4]</t>
  </si>
  <si>
    <r>
      <t>10.</t>
    </r>
    <r>
      <rPr>
        <sz val="7"/>
        <color theme="1"/>
        <rFont val="Times New Roman"/>
        <family val="1"/>
      </rPr>
      <t xml:space="preserve">     </t>
    </r>
    <r>
      <rPr>
        <sz val="9"/>
        <color theme="1"/>
        <rFont val="Calibri"/>
        <family val="2"/>
      </rPr>
      <t>Executar 75% do processo de transferência de tecnologia dos hemoderivados, visando a produção pela Hemobrás.</t>
    </r>
  </si>
  <si>
    <t>Tecnologia de hemoderivados transferida (percentual)</t>
  </si>
  <si>
    <t>2 pontos percentuais inferior à meta</t>
  </si>
  <si>
    <t>146V</t>
  </si>
  <si>
    <t>[1] Dados de 2016 e 2017 atualizados.</t>
  </si>
  <si>
    <t>[2] Dados dos anos anteriores atualizados.</t>
  </si>
  <si>
    <t>[3] Dados de 2016 e 2017 revisados.</t>
  </si>
  <si>
    <t>[4] Coleta de plasma suspensa desde 2016 devido ao excesso de plasma armazenado pela Hemobrás. As novas coletas se darão após a contratação de um novo fracionador internacional e da celebração do contrato com o MS para a gestão da atividade.</t>
  </si>
  <si>
    <t>Objetivo 08. Aprimorar o marco regulatório e as ações de vigilância sanitária, para assegurar a proteção à saúde e o desenvolvimento sustentável do setor.</t>
  </si>
  <si>
    <r>
      <t>1.</t>
    </r>
    <r>
      <rPr>
        <sz val="7"/>
        <color theme="1"/>
        <rFont val="Times New Roman"/>
        <family val="1"/>
      </rPr>
      <t xml:space="preserve">        </t>
    </r>
    <r>
      <rPr>
        <sz val="9"/>
        <color theme="1"/>
        <rFont val="Calibri"/>
        <family val="2"/>
      </rPr>
      <t>Alcançar o patamar de 86,5% para as notificações de reações transfusionais concluídas pelo Sistema Nacional de Vigilância Sanitária.</t>
    </r>
  </si>
  <si>
    <t>Notificação de reações transfusionais concluída (percentual)</t>
  </si>
  <si>
    <t>88,3%[1]</t>
  </si>
  <si>
    <t>13 pontos percentuais superior ao previsto</t>
  </si>
  <si>
    <r>
      <t>2.</t>
    </r>
    <r>
      <rPr>
        <sz val="7"/>
        <color theme="1"/>
        <rFont val="Times New Roman"/>
        <family val="1"/>
      </rPr>
      <t xml:space="preserve">        </t>
    </r>
    <r>
      <rPr>
        <sz val="9"/>
        <color theme="1"/>
        <rFont val="Calibri"/>
        <family val="2"/>
      </rPr>
      <t>Reduzir o prazo médio da primeira manifestação para o registro de medicamentos inéditos para até 60 dias.</t>
    </r>
  </si>
  <si>
    <t>Tempo médio (em dias) da primeira manifestação para o registro de medicamentos genéricos inéditos (dia)</t>
  </si>
  <si>
    <t>60 dias</t>
  </si>
  <si>
    <t>34,1 dias</t>
  </si>
  <si>
    <r>
      <t>60</t>
    </r>
    <r>
      <rPr>
        <sz val="9"/>
        <color theme="1"/>
        <rFont val="Calibri"/>
        <family val="2"/>
      </rPr>
      <t xml:space="preserve"> dias</t>
    </r>
  </si>
  <si>
    <t>38 dias</t>
  </si>
  <si>
    <t>51 dias</t>
  </si>
  <si>
    <t>90 dias</t>
  </si>
  <si>
    <t>30 dias superior à meta</t>
  </si>
  <si>
    <t>30 dias superior ao previsto</t>
  </si>
  <si>
    <r>
      <t>3.</t>
    </r>
    <r>
      <rPr>
        <sz val="7"/>
        <color theme="1"/>
        <rFont val="Times New Roman"/>
        <family val="1"/>
      </rPr>
      <t xml:space="preserve">        </t>
    </r>
    <r>
      <rPr>
        <sz val="9"/>
        <color theme="1"/>
        <rFont val="Calibri"/>
        <family val="2"/>
      </rPr>
      <t>Aumentar para 60% a proporção dos atos normativos publicados pela Anvisa resultantes de sua Agenda Regulatória.</t>
    </r>
  </si>
  <si>
    <t>Ato normativo publicado – RDC e IN (percentual)</t>
  </si>
  <si>
    <t>31 pontos percentuais superior à meta</t>
  </si>
  <si>
    <t>21 pontos percentuais superior ao previsto</t>
  </si>
  <si>
    <r>
      <t>4.</t>
    </r>
    <r>
      <rPr>
        <sz val="7"/>
        <color theme="1"/>
        <rFont val="Times New Roman"/>
        <family val="1"/>
      </rPr>
      <t xml:space="preserve">        </t>
    </r>
    <r>
      <rPr>
        <sz val="9"/>
        <color theme="1"/>
        <rFont val="Calibri"/>
        <family val="2"/>
      </rPr>
      <t>Implementar em 10 Vigilâncias Sanitárias, estaduais e municipais, os procedimentos harmonizados em nível tripartite, visando o atendimento aos padrões internacionais de referência.</t>
    </r>
  </si>
  <si>
    <t>Vigilância Sanitária com os procedimentos harmonizados em nível tripartite implementados (unidade)</t>
  </si>
  <si>
    <r>
      <t>5.</t>
    </r>
    <r>
      <rPr>
        <sz val="7"/>
        <color theme="1"/>
        <rFont val="Times New Roman"/>
        <family val="1"/>
      </rPr>
      <t xml:space="preserve">        </t>
    </r>
    <r>
      <rPr>
        <sz val="9"/>
        <color theme="1"/>
        <rFont val="Calibri"/>
        <family val="2"/>
      </rPr>
      <t>Reavaliar 6 ingredientes ativos de produtos agrotóxicos já registrados, considerando novos indícios de risco à saúde humana.</t>
    </r>
  </si>
  <si>
    <t>Ingrediente ativo de produto agrotóxico reavaliado (unidade)</t>
  </si>
  <si>
    <t>2[2]</t>
  </si>
  <si>
    <t>[1] A apuração desta meta considera as notificações contadas a partir de 1º de outubro do ano anterior até 30 de setembro do ano corrente, sendo assim, os dados informados são relativos ao período de 01/10/2018 a 30/09/2019, apurados em 02/01/2020.</t>
  </si>
  <si>
    <t>[2] Foram concluídas as reavaliações dos ingredientes: 2,4-D (RDC n° 284/2019) e Tiram (RDC nº 320/2019).</t>
  </si>
  <si>
    <t>Objetivo 09. Aprimorar o marco regulatório da Saúde Suplementar, estimulando soluções inovadoras de fiscalização e gestão, voltadas para a eficiência, acesso e qualidade na atenção à saúde, considerando o desenvolvimento sustentável do setor.</t>
  </si>
  <si>
    <r>
      <t>1.</t>
    </r>
    <r>
      <rPr>
        <sz val="7"/>
        <color theme="1"/>
        <rFont val="Times New Roman"/>
        <family val="1"/>
      </rPr>
      <t xml:space="preserve">        </t>
    </r>
    <r>
      <rPr>
        <sz val="9"/>
        <color theme="1"/>
        <rFont val="Calibri"/>
        <family val="2"/>
      </rPr>
      <t>Disponibilizar para 100% dos beneficiários com o Cartão Nacional de Saúde o Registro Individualizado de Saúde.</t>
    </r>
  </si>
  <si>
    <t>Projeto desenvolvido (percentual)[1]</t>
  </si>
  <si>
    <t>5 pontos percentuais inferior à meta</t>
  </si>
  <si>
    <t>5 pontos percentuais inferior ao previsto</t>
  </si>
  <si>
    <t>4339 8727</t>
  </si>
  <si>
    <r>
      <t>2.</t>
    </r>
    <r>
      <rPr>
        <sz val="7"/>
        <color theme="1"/>
        <rFont val="Times New Roman"/>
        <family val="1"/>
      </rPr>
      <t xml:space="preserve">        </t>
    </r>
    <r>
      <rPr>
        <sz val="9"/>
        <color theme="1"/>
        <rFont val="Calibri"/>
        <family val="2"/>
      </rPr>
      <t>Alcançar o patamar de 70% no Índice de Desempenho da Saúde Suplementar.</t>
    </r>
  </si>
  <si>
    <t>IDSS alcançado (percentual)</t>
  </si>
  <si>
    <r>
      <t>3.</t>
    </r>
    <r>
      <rPr>
        <sz val="7"/>
        <color theme="1"/>
        <rFont val="Times New Roman"/>
        <family val="1"/>
      </rPr>
      <t xml:space="preserve">        </t>
    </r>
    <r>
      <rPr>
        <sz val="9"/>
        <color theme="1"/>
        <rFont val="Calibri"/>
        <family val="2"/>
      </rPr>
      <t>Estimular a adesão a novos modelos assistenciais, visando a redução anual do percentual de cesarianas nos serviços ofertados pela saúde suplementar.</t>
    </r>
  </si>
  <si>
    <t>Etapa cumprida (percentual)</t>
  </si>
  <si>
    <t>[1] Produto alterado de “Beneficiários com o Registro Individualizado de Saúde disponibilizado” para “Projeto desenvolvido”.</t>
  </si>
  <si>
    <t>[2] A divulgação dos resultados finais do IDSS 2019 (ano base 2018) está prevista para o para 1º trimestre de 2020. Dado de 2018 atualizado.</t>
  </si>
  <si>
    <t>Objetivo 10. Promover, para as necessidades do SUS, a formação, a educação permanente, a qualificação, a valorização dos trabalhadores, a desprecarização e a democratização das relações de trabalho.</t>
  </si>
  <si>
    <r>
      <t>1.</t>
    </r>
    <r>
      <rPr>
        <sz val="7"/>
        <color theme="1"/>
        <rFont val="Times New Roman"/>
        <family val="1"/>
      </rPr>
      <t xml:space="preserve">     </t>
    </r>
    <r>
      <rPr>
        <sz val="9"/>
        <color theme="1"/>
        <rFont val="Calibri"/>
        <family val="2"/>
      </rPr>
      <t>Alcançar 38.500 bolsistas beneficiados pelo Pró-Residência.</t>
    </r>
  </si>
  <si>
    <t>Bolsista beneficiado (unidade)</t>
  </si>
  <si>
    <t>20YD (PO 0003)</t>
  </si>
  <si>
    <r>
      <t>2.</t>
    </r>
    <r>
      <rPr>
        <sz val="7"/>
        <color theme="1"/>
        <rFont val="Times New Roman"/>
        <family val="1"/>
      </rPr>
      <t xml:space="preserve">     </t>
    </r>
    <r>
      <rPr>
        <sz val="9"/>
        <color theme="1"/>
        <rFont val="Calibri"/>
        <family val="2"/>
      </rPr>
      <t>Qualificar 380.000 profissionais de saúde e gestores em processos de educação, com foco na atenção básica, nas redes e programas prioritários.</t>
    </r>
  </si>
  <si>
    <t>Profissional de saúde e gestor qualificado (unidade)</t>
  </si>
  <si>
    <t>20YD (PO 0002) 20YD (PO 0004) 20YD (PO 0005) 20YD (PO 0006) 20YD (PO 000C)</t>
  </si>
  <si>
    <r>
      <t>3.</t>
    </r>
    <r>
      <rPr>
        <sz val="7"/>
        <color theme="1"/>
        <rFont val="Times New Roman"/>
        <family val="1"/>
      </rPr>
      <t xml:space="preserve">     </t>
    </r>
    <r>
      <rPr>
        <sz val="9"/>
        <color theme="1"/>
        <rFont val="Calibri"/>
        <family val="2"/>
      </rPr>
      <t>Realizar espaços de diálogo e formação com 100 parteiras de comunidades quilombolas, incluindo a distribuição de 100 kits para parteiras tradicionais e realizar 2 seminários envolvendo comunidades quilombolas, com participação de gestores, profissionais de saúde e lideranças das comunidades.</t>
    </r>
  </si>
  <si>
    <t>Parteira atuando em comunidade quilombola  (unidade)</t>
  </si>
  <si>
    <r>
      <t>4.</t>
    </r>
    <r>
      <rPr>
        <sz val="7"/>
        <color theme="1"/>
        <rFont val="Times New Roman"/>
        <family val="1"/>
      </rPr>
      <t xml:space="preserve">     </t>
    </r>
    <r>
      <rPr>
        <sz val="9"/>
        <color theme="1"/>
        <rFont val="Calibri"/>
        <family val="2"/>
      </rPr>
      <t>Promover a realização de experiências na realidade do SUS (VER-SUS) para 8 mil jovens a fim de que conheçam e reflitam sobre experiências concretas de implementação do SUS com o objetivo de atuarem para a mudança da formação, atenção, gestão e participação no e para o SUS nos locais em que vivem, se cuidam, estudam e trabalham.</t>
    </r>
  </si>
  <si>
    <t>Jovem beneficiado (unidade)</t>
  </si>
  <si>
    <t>20YD (PO 0004)</t>
  </si>
  <si>
    <r>
      <t>5.</t>
    </r>
    <r>
      <rPr>
        <sz val="7"/>
        <color theme="1"/>
        <rFont val="Times New Roman"/>
        <family val="1"/>
      </rPr>
      <t xml:space="preserve">     </t>
    </r>
    <r>
      <rPr>
        <sz val="9"/>
        <color theme="1"/>
        <rFont val="Calibri"/>
        <family val="2"/>
      </rPr>
      <t>Envolver 5 mil jovens em ações do Programa de Educação para o Trabalho na Saúde (PET-Saúde) a fim de que estudem, pratiquem e pesquisam ações de qualificação da educação em saúde, dos serviços de saúde e atuem em processo de transformação da graduação em saúde orientados pelas Diretrizes Curriculares e às necessidades da população brasileira e do SUS.</t>
    </r>
  </si>
  <si>
    <r>
      <t>6.</t>
    </r>
    <r>
      <rPr>
        <sz val="7"/>
        <color theme="1"/>
        <rFont val="Times New Roman"/>
        <family val="1"/>
      </rPr>
      <t xml:space="preserve">     </t>
    </r>
    <r>
      <rPr>
        <sz val="9"/>
        <color theme="1"/>
        <rFont val="Calibri"/>
        <family val="2"/>
      </rPr>
      <t>Garantir a formação técnica e processos de qualificação para que pelo menos 20 mil jovens possam se tornar e se qualificar como profissionais de saúde.</t>
    </r>
  </si>
  <si>
    <t>20YD (PO 0002)</t>
  </si>
  <si>
    <t>[1] Não houve edição para o VER-SUS em 2019, pois a meta já tinha sido alcançada.</t>
  </si>
  <si>
    <t>[2] Não houve novas pactuações para vagas no Mediotec/Pronatec em 2019, pois a meta já tinha sido alcançada.</t>
  </si>
  <si>
    <t>Objetivo 11. Fortalecer as instâncias do controle social e os canais de interação com o usuário, com garantia de transparência e participação cidadã.</t>
  </si>
  <si>
    <r>
      <t>1.</t>
    </r>
    <r>
      <rPr>
        <sz val="7"/>
        <color theme="1"/>
        <rFont val="Times New Roman"/>
        <family val="1"/>
      </rPr>
      <t xml:space="preserve">     </t>
    </r>
    <r>
      <rPr>
        <sz val="9"/>
        <color theme="1"/>
        <rFont val="Calibri"/>
        <family val="2"/>
      </rPr>
      <t>Capacitar 68.215 lideranças dos movimentos sociais de promoção de políticas de equidade, conselheiros de saúde, integrantes dos comitês de promoção de equidade, jovens, mulheres, gestores e trabalhadores da saúde em gestão participativa e controle social no SUS.</t>
    </r>
  </si>
  <si>
    <t>Pessoa capacitada (unidade)</t>
  </si>
  <si>
    <t>20YM</t>
  </si>
  <si>
    <r>
      <t>2.</t>
    </r>
    <r>
      <rPr>
        <sz val="7"/>
        <color theme="1"/>
        <rFont val="Times New Roman"/>
        <family val="1"/>
      </rPr>
      <t xml:space="preserve">     </t>
    </r>
    <r>
      <rPr>
        <sz val="9"/>
        <color theme="1"/>
        <rFont val="Calibri"/>
        <family val="2"/>
      </rPr>
      <t>Ampliar em 20% o número de ouvidorias do SUS.</t>
    </r>
  </si>
  <si>
    <t>Serviço de Ouvidoria implantado (percentual)</t>
  </si>
  <si>
    <t>5% (82)</t>
  </si>
  <si>
    <t>3,65% (60)</t>
  </si>
  <si>
    <t>10% (164)</t>
  </si>
  <si>
    <t>8,94% (147)</t>
  </si>
  <si>
    <t>15% (246)</t>
  </si>
  <si>
    <t>16,9% (278)[1]</t>
  </si>
  <si>
    <t>6182 (PO 0002)</t>
  </si>
  <si>
    <r>
      <t>3.</t>
    </r>
    <r>
      <rPr>
        <sz val="7"/>
        <color theme="1"/>
        <rFont val="Times New Roman"/>
        <family val="1"/>
      </rPr>
      <t xml:space="preserve">     </t>
    </r>
    <r>
      <rPr>
        <sz val="9"/>
        <color theme="1"/>
        <rFont val="Calibri"/>
        <family val="2"/>
      </rPr>
      <t>Implantar 20 comitês de políticas de promoção de equidade em saúde para populações em situação de vulnerabilidade social.</t>
    </r>
  </si>
  <si>
    <t>Comitê de Política de Promoção de Equidade em Saúde implantado (unidade)</t>
  </si>
  <si>
    <t xml:space="preserve">[1] Dado revisado. </t>
  </si>
  <si>
    <t>Objetivo 12. Aprimorar a relação interfederativa e a atuação do Ministério da Saúde como gestor federal do SUS.</t>
  </si>
  <si>
    <r>
      <t>1.</t>
    </r>
    <r>
      <rPr>
        <sz val="7"/>
        <color theme="1"/>
        <rFont val="Times New Roman"/>
        <family val="1"/>
      </rPr>
      <t xml:space="preserve">        </t>
    </r>
    <r>
      <rPr>
        <sz val="9"/>
        <color theme="1"/>
        <rFont val="Calibri"/>
        <family val="2"/>
      </rPr>
      <t>Apoiar os Estados, Municípios e Distrito Federal para que 100% dos Fundos de Saúde sejam instituídos por Lei e estejam em funcionamento.</t>
    </r>
  </si>
  <si>
    <t>Ente da federação apoiado (percentual)</t>
  </si>
  <si>
    <t xml:space="preserve">OK         </t>
  </si>
  <si>
    <t>2B52</t>
  </si>
  <si>
    <r>
      <t>2.</t>
    </r>
    <r>
      <rPr>
        <sz val="7"/>
        <color theme="1"/>
        <rFont val="Times New Roman"/>
        <family val="1"/>
      </rPr>
      <t xml:space="preserve">        </t>
    </r>
    <r>
      <rPr>
        <sz val="9"/>
        <color theme="1"/>
        <rFont val="Calibri"/>
        <family val="2"/>
      </rPr>
      <t>Implantar o e-Saúde no Brasil, com destaque para o Registro Eletrônico em Saúde (RES) e para os Centros de Inteligência para suporte às decisões dos gestores públicos e decisões clínicas dos profissionais de saúde.</t>
    </r>
  </si>
  <si>
    <t>Registro Eletrônico em Saúde (RES) implantado (unidade)</t>
  </si>
  <si>
    <t xml:space="preserve">- </t>
  </si>
  <si>
    <t>-[1]</t>
  </si>
  <si>
    <t>20YN (PO 0001)</t>
  </si>
  <si>
    <r>
      <t>3.</t>
    </r>
    <r>
      <rPr>
        <sz val="7"/>
        <color theme="1"/>
        <rFont val="Times New Roman"/>
        <family val="1"/>
      </rPr>
      <t xml:space="preserve">        </t>
    </r>
    <r>
      <rPr>
        <sz val="9"/>
        <color theme="1"/>
        <rFont val="Calibri"/>
        <family val="2"/>
      </rPr>
      <t>Implantar o Contrato Organizativo de Ação Pública da Saúde em 8,8% das regiões de saúde.</t>
    </r>
  </si>
  <si>
    <t>Regiões de saúde com COAP assinado (percentual)</t>
  </si>
  <si>
    <t>Não se aplica[2]</t>
  </si>
  <si>
    <t>Decisão da CIT se sobrepõe à meta do PNS aprovada pelo CNS?</t>
  </si>
  <si>
    <r>
      <t>4.</t>
    </r>
    <r>
      <rPr>
        <sz val="7"/>
        <color theme="1"/>
        <rFont val="Times New Roman"/>
        <family val="1"/>
      </rPr>
      <t xml:space="preserve">        </t>
    </r>
    <r>
      <rPr>
        <sz val="9"/>
        <color theme="1"/>
        <rFont val="Calibri"/>
        <family val="2"/>
      </rPr>
      <t>Implantar pelo menos 1 Núcleo de Economia, Informação, Monitoramento e Avaliação da Saúde (NEMAS) em cada região do País.</t>
    </r>
  </si>
  <si>
    <t>Núcleos Estaduais do Ministério da Saúde (NEMS) capacitados em ações de Monitoramento e Avaliação[3] (Unidade)</t>
  </si>
  <si>
    <r>
      <t>5.</t>
    </r>
    <r>
      <rPr>
        <sz val="7"/>
        <color theme="1"/>
        <rFont val="Times New Roman"/>
        <family val="1"/>
      </rPr>
      <t xml:space="preserve">        </t>
    </r>
    <r>
      <rPr>
        <sz val="9"/>
        <color theme="1"/>
        <rFont val="Calibri"/>
        <family val="2"/>
      </rPr>
      <t>Reduzir, anualmente, o prazo médio dos processos de aquisição de Insumos Estratégicos para Saúde (IES).</t>
    </r>
  </si>
  <si>
    <t>Prazo médio reduzido  (percentual)</t>
  </si>
  <si>
    <t>13%[4]</t>
  </si>
  <si>
    <t>6 pontos percentuais superior ao previsto</t>
  </si>
  <si>
    <r>
      <t>6.</t>
    </r>
    <r>
      <rPr>
        <sz val="7"/>
        <color theme="1"/>
        <rFont val="Times New Roman"/>
        <family val="1"/>
      </rPr>
      <t xml:space="preserve">        </t>
    </r>
    <r>
      <rPr>
        <sz val="9"/>
        <color theme="1"/>
        <rFont val="Calibri"/>
        <family val="2"/>
      </rPr>
      <t>Apoiar os entes da Federação para que 100% tenham Planos de Saúde.</t>
    </r>
  </si>
  <si>
    <t>Ente da federação com Plano de Saúde (percentual)</t>
  </si>
  <si>
    <t>75,37%[5]</t>
  </si>
  <si>
    <t>25 pontos percentuais inferior a meta</t>
  </si>
  <si>
    <t>15 pontos percentuais superior ao previsto</t>
  </si>
  <si>
    <r>
      <t>7.</t>
    </r>
    <r>
      <rPr>
        <sz val="7"/>
        <color theme="1"/>
        <rFont val="Times New Roman"/>
        <family val="1"/>
      </rPr>
      <t xml:space="preserve">        </t>
    </r>
    <r>
      <rPr>
        <sz val="9"/>
        <color theme="1"/>
        <rFont val="Calibri"/>
        <family val="2"/>
      </rPr>
      <t>Apoiar os entes da federação para que 90% tenham Conselhos de Saúde legalmente instituídos e em funcionamento.</t>
    </r>
  </si>
  <si>
    <t>Ente da federação com Conselho de Saúde em funcionamento (percentual)</t>
  </si>
  <si>
    <t>7 pontos percentuais inferior a meta</t>
  </si>
  <si>
    <t>7 pontos percentuais inferior ao previsto</t>
  </si>
  <si>
    <t xml:space="preserve">[1]  O e-Saúde engloba um conjunto de iniciativas de saúde digital, que visam aperfeiçoar a plataforma digital como ferramenta de promoção e acesso do cidadão a serviços de saúde.  </t>
  </si>
  <si>
    <t xml:space="preserve">[2] O processo de contratualização do COAP, em 2017, houve a decisão do plenário da CIT de instituir um Grupo de Trabalho para revisar o Decreto 7508/2011.  </t>
  </si>
  <si>
    <t>[3] Alterado de “Nº de instituições com cooperação formalizada para a implantação de NEMAS” para “Núcleos Estaduais do Ministério da Saúde (NEMS) capacitados em ações de Monitoramento e Avaliação”</t>
  </si>
  <si>
    <t>[4] Em 2018, verificou-se redução no tempo médio de tramitação dos processos de compras de insumos estratégicos para a saúde, de 192 dias em média em 2017 para 167 dias em 2018. Essa redução ocorreu de forma mais significativa no trâmite dos Pregões Eletrônicos que apresentou redução de cerca de 30% no tempo médio (de 219 dias para 155 dias.</t>
  </si>
  <si>
    <t>[5] Atualmente, 75,37% (4.217) dos entes federados possuem Planos de Saúde elaborados, o que correspondeu a 4.190 Planos Municipais, 26 Planos Estaduais e 1 Plano do Distrito Federal.</t>
  </si>
  <si>
    <t>Objetivo 13. Melhorar o padrão de gasto, qualificar o financiamento tripartite e os processos de transferência de recursos, na perspectiva do financiamento estável e sustentável do SUS.</t>
  </si>
  <si>
    <r>
      <t>1.</t>
    </r>
    <r>
      <rPr>
        <sz val="7"/>
        <color theme="1"/>
        <rFont val="Times New Roman"/>
        <family val="1"/>
      </rPr>
      <t xml:space="preserve">     </t>
    </r>
    <r>
      <rPr>
        <sz val="9"/>
        <color theme="1"/>
        <rFont val="Calibri"/>
        <family val="2"/>
      </rPr>
      <t>Fomentar o processo de discussão de metodologia de rateio dos recursos federais entre os entes federados a partir das responsabilidades sanitárias.</t>
    </r>
  </si>
  <si>
    <t>Processo de discussão de metodologia de rateio realizado</t>
  </si>
  <si>
    <r>
      <t>2.</t>
    </r>
    <r>
      <rPr>
        <sz val="7"/>
        <color theme="1"/>
        <rFont val="Times New Roman"/>
        <family val="1"/>
      </rPr>
      <t xml:space="preserve">     </t>
    </r>
    <r>
      <rPr>
        <sz val="9"/>
        <color theme="1"/>
        <rFont val="Calibri"/>
        <family val="2"/>
      </rPr>
      <t>Aumentar, anualmente, o ressarcimento dos planos de saúde ao SUS em decorrência das internações hospitalares e atendimentos ambulatoriais especializados.</t>
    </r>
  </si>
  <si>
    <t>Passivo analisado (percentual)</t>
  </si>
  <si>
    <t>99,97%[1]</t>
  </si>
  <si>
    <r>
      <t>3.</t>
    </r>
    <r>
      <rPr>
        <sz val="7"/>
        <color theme="1"/>
        <rFont val="Times New Roman"/>
        <family val="1"/>
      </rPr>
      <t xml:space="preserve">     </t>
    </r>
    <r>
      <rPr>
        <sz val="9"/>
        <color theme="1"/>
        <rFont val="Calibri"/>
        <family val="2"/>
      </rPr>
      <t>Aprimorar o processo de execução das emendas individuais, com ênfase na pactuação de critérios para projetos prioritários, na eficiência dos investimentos e na sustentabilidade do SUS.</t>
    </r>
  </si>
  <si>
    <t>Processo de execução de emendas aprimorado</t>
  </si>
  <si>
    <r>
      <t>4.</t>
    </r>
    <r>
      <rPr>
        <sz val="7"/>
        <color theme="1"/>
        <rFont val="Times New Roman"/>
        <family val="1"/>
      </rPr>
      <t xml:space="preserve">     </t>
    </r>
    <r>
      <rPr>
        <sz val="9"/>
        <color theme="1"/>
        <rFont val="Calibri"/>
        <family val="2"/>
      </rPr>
      <t>Instituir novas modalidades de repasse de recursos, induzindo linhas de cuidado integral para acesso às especialidades.</t>
    </r>
  </si>
  <si>
    <t>Modalidade de repasse de recursos implantada</t>
  </si>
  <si>
    <r>
      <t>5.</t>
    </r>
    <r>
      <rPr>
        <sz val="7"/>
        <color theme="1"/>
        <rFont val="Times New Roman"/>
        <family val="1"/>
      </rPr>
      <t xml:space="preserve">     </t>
    </r>
    <r>
      <rPr>
        <sz val="9"/>
        <color theme="1"/>
        <rFont val="Calibri"/>
        <family val="2"/>
      </rPr>
      <t>Reduzir, anualmente, o preço médio das aquisições contratuais baseadas em Parcerias para o Desenvolvimento Produtivo (PDP).</t>
    </r>
  </si>
  <si>
    <t>Preço médio da aquisição reduzido (percentual)</t>
  </si>
  <si>
    <t>[1] O monitoramento do índice de ressarcimento alcançado é medido pela redução do passivo de processos administrativos de ressarcimento dos planos de saúde ao SUS não analisados.</t>
  </si>
  <si>
    <t>Qtde Metas PNS</t>
  </si>
  <si>
    <t>Metas Cumpridas 2019 &gt; Metas 2018</t>
  </si>
  <si>
    <t>Metas não Cumpridas 2019 &gt; Metas 2018</t>
  </si>
  <si>
    <t>Metas não Cumpridas 2019 &lt; Metas 2018</t>
  </si>
  <si>
    <t>Metas não Cumpridas 2019 = Metas 2018</t>
  </si>
  <si>
    <t>Metas Cumpridas 2019 &lt; Metas 2018</t>
  </si>
  <si>
    <t>Metas Cumpridas 2019 = Metas 2018</t>
  </si>
  <si>
    <t>RESUMO</t>
  </si>
  <si>
    <t>O Plano Nacional de Saúde é composto por 13 objetivos e 121 metas que são avaliadas anualmente por meio da Programação Anual de Saúde. Na avaliação do Relatório Anual de Gestão de 2019 foi identificada a seguinte situação:</t>
  </si>
  <si>
    <t>PROPOSTA DE RECOMENDAÇÕES</t>
  </si>
  <si>
    <r>
      <t xml:space="preserve">Metas de 2019 realizadas a menor do que em 2018: </t>
    </r>
    <r>
      <rPr>
        <b/>
        <i/>
        <sz val="12"/>
        <color theme="1"/>
        <rFont val="Calibri"/>
        <family val="2"/>
        <scheme val="minor"/>
      </rPr>
      <t>28%</t>
    </r>
    <r>
      <rPr>
        <b/>
        <i/>
        <sz val="10"/>
        <color theme="1"/>
        <rFont val="Calibri"/>
        <family val="2"/>
        <scheme val="minor"/>
      </rPr>
      <t xml:space="preserve"> (34/121)</t>
    </r>
  </si>
  <si>
    <r>
      <t xml:space="preserve">Metas de 2019 realizadas a maior do que em 2018: </t>
    </r>
    <r>
      <rPr>
        <b/>
        <i/>
        <sz val="12"/>
        <color theme="1"/>
        <rFont val="Calibri"/>
        <family val="2"/>
        <scheme val="minor"/>
      </rPr>
      <t>48%</t>
    </r>
    <r>
      <rPr>
        <b/>
        <i/>
        <sz val="10"/>
        <color theme="1"/>
        <rFont val="Calibri"/>
        <family val="2"/>
        <scheme val="minor"/>
      </rPr>
      <t xml:space="preserve"> (58/121)</t>
    </r>
  </si>
  <si>
    <r>
      <t>Metas de 2019 realizadas igualmente a 2018:</t>
    </r>
    <r>
      <rPr>
        <b/>
        <i/>
        <sz val="12"/>
        <color theme="1"/>
        <rFont val="Calibri"/>
        <family val="2"/>
        <scheme val="minor"/>
      </rPr>
      <t xml:space="preserve"> 11%</t>
    </r>
    <r>
      <rPr>
        <b/>
        <i/>
        <sz val="10"/>
        <color theme="1"/>
        <rFont val="Calibri"/>
        <family val="2"/>
        <scheme val="minor"/>
      </rPr>
      <t xml:space="preserve"> (13/121)</t>
    </r>
  </si>
  <si>
    <t>CONCLUSÕES</t>
  </si>
  <si>
    <r>
      <rPr>
        <b/>
        <i/>
        <u/>
        <sz val="12"/>
        <color theme="1"/>
        <rFont val="Calibri"/>
        <family val="2"/>
        <scheme val="minor"/>
      </rPr>
      <t>Metas cumpridas 38%</t>
    </r>
    <r>
      <rPr>
        <i/>
        <sz val="12"/>
        <color theme="1"/>
        <rFont val="Calibri"/>
        <family val="2"/>
        <scheme val="minor"/>
      </rPr>
      <t xml:space="preserve">; </t>
    </r>
    <r>
      <rPr>
        <b/>
        <i/>
        <u/>
        <sz val="12"/>
        <color theme="1"/>
        <rFont val="Calibri"/>
        <family val="2"/>
        <scheme val="minor"/>
      </rPr>
      <t>metas não cumpridas 49%</t>
    </r>
    <r>
      <rPr>
        <i/>
        <sz val="12"/>
        <color theme="1"/>
        <rFont val="Calibri"/>
        <family val="2"/>
        <scheme val="minor"/>
      </rPr>
      <t xml:space="preserve"> e </t>
    </r>
    <r>
      <rPr>
        <b/>
        <i/>
        <u/>
        <sz val="12"/>
        <color theme="1"/>
        <rFont val="Calibri"/>
        <family val="2"/>
        <scheme val="minor"/>
      </rPr>
      <t>13% das metas não foram possíveis serem avaliadas</t>
    </r>
    <r>
      <rPr>
        <i/>
        <sz val="12"/>
        <color theme="1"/>
        <rFont val="Calibri"/>
        <family val="2"/>
        <scheme val="minor"/>
      </rPr>
      <t xml:space="preserve">. </t>
    </r>
    <r>
      <rPr>
        <i/>
        <u/>
        <sz val="12"/>
        <color theme="1"/>
        <rFont val="Calibri"/>
        <family val="2"/>
        <scheme val="minor"/>
      </rPr>
      <t>Das metas cumpridas em relação a 2018</t>
    </r>
    <r>
      <rPr>
        <i/>
        <sz val="12"/>
        <color theme="1"/>
        <rFont val="Calibri"/>
        <family val="2"/>
        <scheme val="minor"/>
      </rPr>
      <t xml:space="preserve">, </t>
    </r>
    <r>
      <rPr>
        <b/>
        <i/>
        <sz val="12"/>
        <color theme="1"/>
        <rFont val="Calibri"/>
        <family val="2"/>
        <scheme val="minor"/>
      </rPr>
      <t>65% foram superiores</t>
    </r>
    <r>
      <rPr>
        <i/>
        <sz val="12"/>
        <color theme="1"/>
        <rFont val="Calibri"/>
        <family val="2"/>
        <scheme val="minor"/>
      </rPr>
      <t xml:space="preserve">, </t>
    </r>
    <r>
      <rPr>
        <b/>
        <i/>
        <sz val="12"/>
        <color theme="1"/>
        <rFont val="Calibri"/>
        <family val="2"/>
        <scheme val="minor"/>
      </rPr>
      <t>20% foram inferiores</t>
    </r>
    <r>
      <rPr>
        <i/>
        <sz val="12"/>
        <color theme="1"/>
        <rFont val="Calibri"/>
        <family val="2"/>
        <scheme val="minor"/>
      </rPr>
      <t xml:space="preserve"> e </t>
    </r>
    <r>
      <rPr>
        <b/>
        <i/>
        <sz val="12"/>
        <color theme="1"/>
        <rFont val="Calibri"/>
        <family val="2"/>
        <scheme val="minor"/>
      </rPr>
      <t>15% iguais</t>
    </r>
    <r>
      <rPr>
        <i/>
        <sz val="12"/>
        <color theme="1"/>
        <rFont val="Calibri"/>
        <family val="2"/>
        <scheme val="minor"/>
      </rPr>
      <t xml:space="preserve">. </t>
    </r>
    <r>
      <rPr>
        <i/>
        <u/>
        <sz val="12"/>
        <color theme="1"/>
        <rFont val="Calibri"/>
        <family val="2"/>
        <scheme val="minor"/>
      </rPr>
      <t>Das  metas não cumpridas em relação a 2018</t>
    </r>
    <r>
      <rPr>
        <i/>
        <sz val="12"/>
        <color theme="1"/>
        <rFont val="Calibri"/>
        <family val="2"/>
        <scheme val="minor"/>
      </rPr>
      <t xml:space="preserve">, </t>
    </r>
    <r>
      <rPr>
        <b/>
        <i/>
        <sz val="12"/>
        <color theme="1"/>
        <rFont val="Calibri"/>
        <family val="2"/>
        <scheme val="minor"/>
      </rPr>
      <t>47% foram superiores</t>
    </r>
    <r>
      <rPr>
        <i/>
        <sz val="12"/>
        <color theme="1"/>
        <rFont val="Calibri"/>
        <family val="2"/>
        <scheme val="minor"/>
      </rPr>
      <t xml:space="preserve">, </t>
    </r>
    <r>
      <rPr>
        <b/>
        <i/>
        <sz val="12"/>
        <color theme="1"/>
        <rFont val="Calibri"/>
        <family val="2"/>
        <scheme val="minor"/>
      </rPr>
      <t>42% foram inferiores</t>
    </r>
    <r>
      <rPr>
        <i/>
        <sz val="12"/>
        <color theme="1"/>
        <rFont val="Calibri"/>
        <family val="2"/>
        <scheme val="minor"/>
      </rPr>
      <t xml:space="preserve"> e </t>
    </r>
    <r>
      <rPr>
        <b/>
        <i/>
        <sz val="12"/>
        <color theme="1"/>
        <rFont val="Calibri"/>
        <family val="2"/>
        <scheme val="minor"/>
      </rPr>
      <t>10% iguais</t>
    </r>
    <r>
      <rPr>
        <i/>
        <sz val="12"/>
        <color theme="1"/>
        <rFont val="Calibri"/>
        <family val="2"/>
        <scheme val="minor"/>
      </rPr>
      <t xml:space="preserve">. </t>
    </r>
    <r>
      <rPr>
        <i/>
        <u/>
        <sz val="12"/>
        <color theme="1"/>
        <rFont val="Calibri"/>
        <family val="2"/>
        <scheme val="minor"/>
      </rPr>
      <t>As metas propostas para 2019 em relação a 2018, em termos quantitativos,</t>
    </r>
    <r>
      <rPr>
        <b/>
        <i/>
        <sz val="12"/>
        <color theme="1"/>
        <rFont val="Calibri"/>
        <family val="2"/>
        <scheme val="minor"/>
      </rPr>
      <t xml:space="preserve"> foram superiores em 48%</t>
    </r>
    <r>
      <rPr>
        <i/>
        <sz val="12"/>
        <color theme="1"/>
        <rFont val="Calibri"/>
        <family val="2"/>
        <scheme val="minor"/>
      </rPr>
      <t xml:space="preserve">, </t>
    </r>
    <r>
      <rPr>
        <b/>
        <i/>
        <sz val="12"/>
        <color theme="1"/>
        <rFont val="Calibri"/>
        <family val="2"/>
        <scheme val="minor"/>
      </rPr>
      <t>foram inferiores em 28%</t>
    </r>
    <r>
      <rPr>
        <i/>
        <sz val="12"/>
        <color theme="1"/>
        <rFont val="Calibri"/>
        <family val="2"/>
        <scheme val="minor"/>
      </rPr>
      <t xml:space="preserve"> e </t>
    </r>
    <r>
      <rPr>
        <b/>
        <i/>
        <sz val="12"/>
        <color theme="1"/>
        <rFont val="Calibri"/>
        <family val="2"/>
        <scheme val="minor"/>
      </rPr>
      <t>iguais em 11%</t>
    </r>
    <r>
      <rPr>
        <i/>
        <sz val="12"/>
        <color theme="1"/>
        <rFont val="Calibri"/>
        <family val="2"/>
        <scheme val="minor"/>
      </rPr>
      <t>.</t>
    </r>
  </si>
  <si>
    <t>Observou-se que muitos dos indicadores formulados não são de aplicação direta do Ministério da Saúde. Dependem de ações a serem realizadas pelos Estados, Municípios e pelo Distrito Federal. Como não há explicações objetivas que demonstrem a motivação para o não cumprimento de metas, entende-se que há fragilidade nas ações de monitoramento e avaliação por parte do Ministério da Saúde e/ou as metas não estão bem formuladas. Neste sentido recomenda-se que as metas sejam readequadas conceitualmente e operacionalmente a fim de possibilitar uma análise conclusiva de seus desempenhos.</t>
  </si>
  <si>
    <t>Adequada</t>
  </si>
  <si>
    <t>Regular</t>
  </si>
  <si>
    <t>Inadequada</t>
  </si>
  <si>
    <t>Intolerável</t>
  </si>
  <si>
    <t>Inaceitável</t>
  </si>
  <si>
    <t>Execução Orçamentária - Empenho</t>
  </si>
  <si>
    <t>Execução Financeira - Liquidação</t>
  </si>
  <si>
    <r>
      <rPr>
        <b/>
        <i/>
        <sz val="12"/>
        <color theme="1"/>
        <rFont val="Calibri"/>
        <family val="2"/>
        <scheme val="minor"/>
      </rPr>
      <t>A execução orçamentária</t>
    </r>
    <r>
      <rPr>
        <i/>
        <sz val="12"/>
        <color theme="1"/>
        <rFont val="Calibri"/>
        <family val="2"/>
        <scheme val="minor"/>
      </rPr>
      <t xml:space="preserve">, empenhamento da despesa no exercício de 2019, se mostrou </t>
    </r>
    <r>
      <rPr>
        <b/>
        <i/>
        <sz val="12"/>
        <color theme="1"/>
        <rFont val="Calibri"/>
        <family val="2"/>
        <scheme val="minor"/>
      </rPr>
      <t>80% satisfatória;</t>
    </r>
  </si>
  <si>
    <r>
      <rPr>
        <b/>
        <i/>
        <sz val="12"/>
        <color theme="1"/>
        <rFont val="Calibri"/>
        <family val="2"/>
        <scheme val="minor"/>
      </rPr>
      <t>A execução financeira</t>
    </r>
    <r>
      <rPr>
        <i/>
        <sz val="12"/>
        <color theme="1"/>
        <rFont val="Calibri"/>
        <family val="2"/>
        <scheme val="minor"/>
      </rPr>
      <t xml:space="preserve">, liquidação dos empenhos realizados no exercício de 2019, se mostrou </t>
    </r>
    <r>
      <rPr>
        <b/>
        <i/>
        <sz val="12"/>
        <color theme="1"/>
        <rFont val="Calibri"/>
        <family val="2"/>
        <scheme val="minor"/>
      </rPr>
      <t>63% satisfatória</t>
    </r>
    <r>
      <rPr>
        <i/>
        <sz val="12"/>
        <color theme="1"/>
        <rFont val="Calibri"/>
        <family val="2"/>
        <scheme val="minor"/>
      </rPr>
      <t>;</t>
    </r>
  </si>
  <si>
    <t>Metas Cumpridas 2019</t>
  </si>
  <si>
    <t>Metas não Cumpridas 2019</t>
  </si>
  <si>
    <t>Metas não Avaliadas 2019</t>
  </si>
  <si>
    <t>CONTRIBUIÇÕES RECEBIDAS DAS COMISSÕES</t>
  </si>
  <si>
    <t>COFIN/CNS</t>
  </si>
  <si>
    <t>COMENTÁRIO E/OU QUESTIONAMENTO</t>
  </si>
  <si>
    <t>Objetivo 7: Lenir Santos Antonio Junior - A gestão do plasma foi retirada da Hemobrás em 2017 pela Portaria 922, de 4 de abril de 2017 do Ministério da Saúde. Em julho de 2020 o MS devolveu à Hemobras essa sua atribuição legal (Portaria n. 1710, 8 de julho de 2020).</t>
  </si>
  <si>
    <t xml:space="preserve">Objetivo x: </t>
  </si>
  <si>
    <t>COMISSÃO A</t>
  </si>
  <si>
    <t>COMISSÃO B</t>
  </si>
  <si>
    <t>COMISSÃO C</t>
  </si>
  <si>
    <t>COMISSÃO D</t>
  </si>
  <si>
    <t>COMISSÃO E</t>
  </si>
  <si>
    <t>Observações SPO/MS</t>
  </si>
  <si>
    <t>Meta Cumulativa. 
Meta: 684. Realizado PNS: 267 (nota).  Sem justificativa no RAG. 39,03% PNS e 78,33% na PAS.</t>
  </si>
  <si>
    <t>Meta Não Cumulativa.
Meta PNS: 345. Realizado PNS: 288. Sem justificativa no RAG. 83,47% no PNS e PAS.</t>
  </si>
  <si>
    <t>Meta Cumulativa.
PNS: 91,2%; PAS 2019: 128,6%.</t>
  </si>
  <si>
    <t>Nota de Rodapé nº 18 RAG. Meta: 55 Hospitais, sendo 8 do MS. Regras do REHUF não permitiu o cumprimento da meta.</t>
  </si>
  <si>
    <t>Meta Cumulativa. 
Meta PNS: 650. Realizado PNS: 936. Previsto PAS 2019: 196. Realizado PAS 2019: 735.</t>
  </si>
  <si>
    <t>Meta Cumulativa.
PAS 2019 Prevista: 6
PAS 2019 Realizada: 25
PNS Previsto: 18
PNS Realizado: 49 Unidades Especializada com DRC habilitada</t>
  </si>
  <si>
    <t>Meta Cumulativa.
PAS Prevista 2019: 51
PAS Realizada 2019: 31 (60,8% )Centro Especializado em Reabilitação - CER implantado
PNS Prevista : 98 
PNS Realizada: 112 (114,28%)
Detalhes nas Informações Adicionais do RAG.</t>
  </si>
  <si>
    <t>Meta Cumulativa.
Alcançado 6 de 26 (23,07%). Justificativa: Nota de rodapé.</t>
  </si>
  <si>
    <t>Meta Não Cumulativa.
Realizada: 335.072
Alcance: 101,54% (PNS e PAS 2019)</t>
  </si>
  <si>
    <t>Meta Não Cumulativa.
Justificativa na nota de rodapé. PAS 2019 mudou a produto.</t>
  </si>
  <si>
    <t>Meta Não Cumulativa.
Linha de Base: 33 casos. Meta PNS: reduzir para 17. Realizado PAS: 11.</t>
  </si>
  <si>
    <t xml:space="preserve">Meta Cumulativa.
Meta PNS: 2000. Realizado PNS: 2.256. </t>
  </si>
  <si>
    <t>Meta Cumulativa.
Nota de rodapé (13). Fonte: Pnad. Difícil mensuração.</t>
  </si>
  <si>
    <t>Meta Cumulativa.
Nota de rodapé (13). O número correto é 2.753. o 27 é da nota. Fonte: Pnad. Difícil mensuração.</t>
  </si>
  <si>
    <t>Meta Cumulativa.
Nota de rodapé (12). Fonte: Pnad. Difícil mensuração.</t>
  </si>
  <si>
    <t>Meta Cumulativa.
Meta PNS: 11. Realizado PNS 18. 
Realizado PAS 2019: 10.</t>
  </si>
  <si>
    <t>Meta Não Cumulativa.
São 2 metas em 1. O Fator VIII superou a meta, enquanto que o Fator IX não alcançou. 
Justificativa nas informações adicionais.</t>
  </si>
  <si>
    <t>Meta Não Cumulativa.
Justificativa nas Informações Adicionais.</t>
  </si>
  <si>
    <t>Meta Não Cumulativa.
Justificativa nas informações adicionais.</t>
  </si>
  <si>
    <t>Meta Cumulativa.
PNS Previsto: 960.
PNS Alcançado: 989. 103,02%</t>
  </si>
  <si>
    <t>Meta Cumulativa.
PNS Prevista: 50. 
PNS Realizada: 99. 
PAS 2019 Realizada: 23.</t>
  </si>
  <si>
    <t>Meta Cumulativa.
Meta PNS: 6. 
Realizado PNS: 6. 
Realizado PAS 2019: 2.</t>
  </si>
  <si>
    <t>Meta Cumulativa.
Total de profissionais e gestores de saúde capacitados: 1.250.473.</t>
  </si>
  <si>
    <t>Meta Cumulativa.
Realizado por ano:
2016: 2.666
2017: 2.822
2018: 2.791
2019: 6.486
PNS: 14.765</t>
  </si>
  <si>
    <t>Meta Não cumulativa.
Linha de base = 1.644
PAS 2019: 54
PNS: 332</t>
  </si>
  <si>
    <t>Meta qualitativa.
Verificar Informações Adicionais.</t>
  </si>
  <si>
    <t>Meta descontinuada.
Informações Adicionais</t>
  </si>
  <si>
    <t>Meta Não Cumulativa.
PAS 2019 Realizada: 76,91%
Fonte: &lt;http://www.ans.gov.br/aans/noticias-ans/qualidade-da-saude/5441-ans-divulga-resultados-do-desempenho-das-operadoras-no-ano-base-2018&gt;, acesso em 4/9/2020.</t>
  </si>
  <si>
    <t>Meta Cumulativa.
Meta PNS Prevista: 16%
Meta PNS realizada: 26,60%
Linha de base: 1,03%.
Os preços unitários dos medicamentos baseados em Parceria para o Desenvolvimento Produtivo (PDP) devem ser menores em valores reais, a cada ano. Portanto, a proposta é negociar todos os anos os processos para que, mesmo com os índices oficiais positivos, o preço unitário seja inferior ao ano anterior.</t>
  </si>
  <si>
    <t>Meta Não Cumulativa.
Meta PNS: analisar 88,68% de passivo estático.
Linha de base (31/12/2015): o passivo estático de atendimentos realizados no SUS, por usuários que possuem plano de saúde, era de 729.870 atendimentos não analisados em 1ª instância, e de 287.247 atendimentos não analisados em 2ª instância, totalizando 1.017.117 atendimentos não analisados.</t>
  </si>
  <si>
    <t>Meta Cumulativa.
Previsto Plano: 5
Realizado Plano: 10+5 = 15
OBS: Houve ajuste no produto da meta para 2018 e foi redefinida o previsto para o final do plano = 5. 
Informações Adicionais.</t>
  </si>
  <si>
    <t>Anos</t>
  </si>
  <si>
    <t>Receita Corrente Líquida¹ - RCL                             (R$ milhões)</t>
  </si>
  <si>
    <t>RCL                                      (R$ de 2019² por habitante)</t>
  </si>
  <si>
    <t>Piso³ ASPS                    (R$ 1,00 de 2019² por habitante)</t>
  </si>
  <si>
    <t>Piso/ RCL</t>
  </si>
  <si>
    <t>Empenhado (R$ milhões)</t>
  </si>
  <si>
    <t>Empenhado per capita  (R$ 1,00 de 2019² por habitante)</t>
  </si>
  <si>
    <t>Empe-nhado/ RCL</t>
  </si>
  <si>
    <t>335.072[3]</t>
  </si>
  <si>
    <t>NA</t>
  </si>
  <si>
    <r>
      <t>Superior a 2018 (54%/52,5%)-1=</t>
    </r>
    <r>
      <rPr>
        <b/>
        <sz val="10"/>
        <color theme="1"/>
        <rFont val="Calibri"/>
        <family val="2"/>
        <scheme val="minor"/>
      </rPr>
      <t>2,9%</t>
    </r>
    <r>
      <rPr>
        <sz val="10"/>
        <color theme="1"/>
        <rFont val="Calibri"/>
        <family val="2"/>
        <scheme val="minor"/>
      </rPr>
      <t xml:space="preserve"> em 2018
(19,8%/17,9%)-1=</t>
    </r>
    <r>
      <rPr>
        <b/>
        <sz val="10"/>
        <color theme="1"/>
        <rFont val="Calibri"/>
        <family val="2"/>
        <scheme val="minor"/>
      </rPr>
      <t>10,6%</t>
    </r>
    <r>
      <rPr>
        <sz val="10"/>
        <color theme="1"/>
        <rFont val="Calibri"/>
        <family val="2"/>
        <scheme val="minor"/>
      </rPr>
      <t xml:space="preserve"> em 2019</t>
    </r>
  </si>
  <si>
    <t>superior a 2019</t>
  </si>
  <si>
    <t>76,91%[2]</t>
  </si>
  <si>
    <t>Cumpriu a meta</t>
  </si>
  <si>
    <t>meta cancelada</t>
  </si>
  <si>
    <t>ESCLARECIMENTOS DA SPO/MS PARA COFIN EM 04/09/2020</t>
  </si>
  <si>
    <t>COMISSÃO DE ORÇAMENTO E FINANCIAMENTO DO CONSELHO NACIONAL DA SAÚDE (Cofin/CNS) - ANÁLISE DO RAG 2019 - METAS DA PAS 2019 E DO PLANO NACIONAL DE SAÚDE 2016-2019 - PREVISTAS X REALIZADAS</t>
  </si>
  <si>
    <t>PEDIDO DE ESCLARECIMENTO AO MINISTÉRIO DA SAÚDE (ENVIO EM 09/11/2020)</t>
  </si>
  <si>
    <t>OB1.M1.1 (04-07-14) Quais foram os motivos para o MS não ter cumprido a meta (PAS2019 E PNS)?</t>
  </si>
  <si>
    <t>OB1.M2.1 (04-07-12-14)  Quais foram os motivos para o MS não ter cumprido a meta (PAS2019 E PNS)?</t>
  </si>
  <si>
    <t>OB1.M3.1 (04-14)  Quais foram os motivos para o MS não ter cumprido a meta (PNS)?</t>
  </si>
  <si>
    <t>OB1.M4.1 (04-07-09-14) Quais foram os motivos para o MS não ter cumprido a meta?                              OB1.M4.2 (12) Por que houve mudança da meta inicialmente aprovada?</t>
  </si>
  <si>
    <t>OB1.M5.1 (04-07-09-12-14) Quais foram os motivos para o MS não ter cumprido a meta?</t>
  </si>
  <si>
    <t>OB1.M7.1 (04-07-09-14) Quais foram os motivos para o MS não ter cumprido a meta (PAS2019 E PNS)?</t>
  </si>
  <si>
    <t>OB1.M6.1 (04-06-07-14) Quais foram os motivos para o MS não ter cumprido a meta (PAS2019 E PNS)?                                                                                                                                                                  OB2.M6.2 (04)Como estão sendo preenchidas as  8.517 vagas ofertadas, pois seriam suficientes para atingir a meta original de 20.335?                                                                                                                   OB1.M6.3 (07-14) Solicitamos esclarecimentos por parte do MS acerca do provimento para preenchimento desses vazios assistenciais, haja vista o descumprimento das metas pactuadas para 2019                                                                                                                                                                   OB1.M6.4 (09) Dados não conferem com a realidade. Comissão solicita maiores informações sobre esses dados estratificados por estado e munícipios do país                                                                  OB1.M6.5 (12) Por que houve redução da meta e o que  será feito para suprir a necessidade de alocação de médicos para a população que ficou desassistida?</t>
  </si>
  <si>
    <t>OB1.M8.1 (09) Por que houve redução da realização de 2019 comparada a de 2018?</t>
  </si>
  <si>
    <t>OB1.M10.1 (13) Extratificar quais foram os públicos-alvo que foram prejudicados pelo não cumprimento da meta do PNS.</t>
  </si>
  <si>
    <t>OB1.M13.1 (04-09-12-14) Quais foram os motivos para o MS não ter cumprido a meta (PAS2019 E PNS)?                                                                                                                                                                  OB1.M13.2 (04) Indicar se TODAS as bolsas coletadas foram testadas e se existiam testes disponíveis para tal - não deveriamos neste caso medir efetividade contra uma estimativa.                        OB1.M13.3 (13) Especificar se a porcentagem faltosa foi para HIV, HCV ou HBV.</t>
  </si>
  <si>
    <t>OB1.M14.1 (04-07-09-12-14) Quais foram os motivos para o MS não ter cumprido a meta (PAS2019 E PNS)?                                                                                                                                                                   OB1.M14.2 Houve restabelecimento do incentivo às centrais de regulação?</t>
  </si>
  <si>
    <t>OB1.M15.1 (04-07-09-14) Quais foram os motivos para o MS não ter cumprido a meta (PAS2019 E PNS)?                                                                                                                                                                OB1.M15.2 (04-12) Mesmo com a redução de 19.000 para 5.000 UBS, justificar essas 'novas possibilidades' em curso desde interrupção em set-2016 e porque o contrato foi interrompido em 2016 e até o momento o processo não foi restabelecido?                                                                    OB1.M15.3 (13) O problema foi com a notificação da operadora de internet ou com o sinal?</t>
  </si>
  <si>
    <t>OB1.M19.1 (04-09-14) Quais foram os motivos para o MS não ter cumprido a meta (PAS2019 E PNS)?</t>
  </si>
  <si>
    <t>OB2.M1.1 (04-07-09-13) Quais foram os motivos para o MS não ter cumprido a meta (PAS2019 E PNS) e, especialmente, Por qual motivo as compras só foram aprovadas em 2019, não autorizando nos 4 anos anteriores? Quantas crianças foram diagnosticadas tardiamente tendo um custo maior para o SUS por conta do não cumprimento dessa meta?</t>
  </si>
  <si>
    <t>OB2.M2.1 (09) Considerando que houve o cumprimento das metas (PAS2019 E PNS), o que explica a ampla desasistência à saúde sexual e reprodutiva das mulheres?</t>
  </si>
  <si>
    <t>OB2.M3.1 (07) Quais foram os motivos para o MS não ter cumprido a meta (PAS2019 E PNS)?                                         OB2.M3.2 (07) Informações sobre as regiões onde os serviços foram habilitados.</t>
  </si>
  <si>
    <t>OB2.M5.1 (07) Informações onde foram implantadas                                                                            OB2.M5.2 (13) implantar significa que o aparelhamento necessário para a rotina dos serviços de saúde também está 100% entregue e funcionando? Em caso negativo, explicar a situação existente.</t>
  </si>
  <si>
    <t xml:space="preserve">OB2.M7.1 (04-07-09) Quais foram os motivos para o MS não ter cumprido a meta (PAS2019 E PNS)?   OB2.M7.2 (07 ) Prestar esclarecimento satisfatório quanto à série histórica epidemiológica de 2016 a 2019 sobre C.A de mama e impacto financeiro para o SUS quanto ao tratamento e reabilitação. OB2.M7.3 (13) Por qual motivo o MS não regulamentou a "Lei dos 30 Dias" (13.686/2019) e a "Lei da Notificação Compulsória do Câncer" (13.685/2019)? </t>
  </si>
  <si>
    <t>OB2.M8.1 (04-07-09) Quais foram os motivos para o MS não ter cumprido a meta (PAS2019 E PNS)?  OB2.M8.2 (04) Por que o modelo de atenção primária tem privilegiado as ações de demandas assistenciais e pouco as de vigilância (prevenção e promoção da saúde)?                                       OB2.M8.3 (07) Prestar esclarecimento satisfatório quanto à série histórica epidemiológica de 2016 a 2019 sobre C.A de colo de útero e impacto financeiro para o SUS quanto ao tratamento e reabilitação.                                                                                                                                                     OB2.M8.4 (13) Por qual motivo a Portaria MS nº 61/2015 segue me vigor, contrariando a Constituição Federal e a Lei nº 11.664/2008?</t>
  </si>
  <si>
    <t>0B2.M9.1 (04-07-09) Quais foram os motivos para o MS não ter cumprido a meta (PAS2019 E PNS)?  OB2.M9.2 (04) Esclarecer os motivos e quais projetos foram substituídos, bem como quais foram e qual a situação dos projetos em análise em 31/12/2019 e atualmente?                                          OB2.M9.3 (07) Esclarecer as razões para a não implementação do plano e das 80 soluções de radioterapia em 2019, nos termos da PORTARIA Nº 931, DE 10 DE MAIO DE 2012.</t>
  </si>
  <si>
    <t>OB2.M10.1 (07-09) Quais foram os motivos para o MS não ter cumprido a meta (PAS2019 E PNS)?      OB2.M10.2 (07) Informar o perfil epidemiológico e número de atendimentos em UPAs no período de 2016 a 2019</t>
  </si>
  <si>
    <t>OB2.M11.1 (11) Informação sobre não cumprimento de ampliação do número de beneficiários do Programa de Volta para Casa - PVC</t>
  </si>
  <si>
    <t>Pedido de Esclarecimentos das Comissões Temáticas/CNS</t>
  </si>
  <si>
    <t>OB2.M12. 1 (04-07-09) Quais foram os motivos para o MS não ter cumprido a meta (PAS2019 E PNS)?</t>
  </si>
  <si>
    <t xml:space="preserve">OB2.M13.1 (04-07-09) Quais foram os motivos para o MS não ter cumprido a meta (PAS2019 E PNS)?   OB2.M13.2 (07) Esclarecimentos quanto ao não cumprimento desta meta em detrimento do aumento de financiamento federal às comunidades terapêuticas. Frisamos que para as comunidades terapêuticas, só em 2018, o MS programou 40 milhões para estas comunidades (https://www.justica.gov.br/news/governo-destina-r-87-milhoes-ao-acolhimento-de-dependentes-em-comunidades-terapeuticas). </t>
  </si>
  <si>
    <t>OB2.M14.1 (04-07-09-11)  Quais foram os motivos para o MS não ter cumprido a meta (PAS2019 E PNS)?                                                                                                                                                                     OB2.M14.2 (07) Esclarecimentos quanto ao não cumprimento desta meta. Frisamos que para as comunidades terapêuticas, só em 2018, o MS programou 40 milhões para estas comunidades (https://www.justica.gov.br/news/governo-destina-r-87-milhoes-ao-acolhimento-de-dependentes-em-comunidades-terapeuticas).                                                                                                               OB2.M14.3 (11) Quais são as 13 unidades que faltaram criar e a previsão de criação?</t>
  </si>
  <si>
    <t>OB2.M15.1 (04-07-09-11)  Quais foram os motivos para o MS não ter cumprido a meta (PAS2019 E PNS)?                                                                                                                                                                OB2.M15.2 (07)  Informações das localidades onde houve implantação.                                       OB2.M15.3 (07) Esclarecimento acerca do aumento no investimento na implatação de leitos de saúde mental em hospitais, em detrimento deo escasso investimento em CAPS - tal situação vai de encontro à Reforma psiquiátrica e o processo de desinstitucionalização psiquiátrica prevista pela Lei 10.216/2001.                                                                                                                                                 OB2.M15.4 (11) Esclarecimento sobre os 193 Centros de Atenção Psicossocial (CAPS) que estão faltando e a previsão da criação.</t>
  </si>
  <si>
    <t>OB2.M16.1 (04-07-11)  Quais foram os motivos para o MS não ter cumprido a meta (PAS2019 E PNS)?                                                                                                                                                                                                      OB2.M16.2 (07) Esclarecimento acerca do aumento no investimento na implatação de leitos de saúde mental em hospitais, em detrimento deo escasso investimento em CAPS - tal situação vai de encontro à Reforma psiquiátrica e o processo de desinstitucionalização psiquiátrica prevista pela Lei 10.216/2001 .                                                                                                                                                OB2.M16.3 (11) Esclarecimento sobre os 40  Centros de Atenção Psicossocial - CAPS III - 24 horas que estão faltando e a previsão da criação.</t>
  </si>
  <si>
    <t>OB2.M17.1 (04-07-11)  Quais foram os motivos para o MS não ter cumprido a meta (PAS2019 E PNS)?                                                                                                                                                                                                      OB2.M17.2 (07) esclarecimento acerca do aumento no investimento na implatação de leitos de saúde mental em hospitais, em detrimento deo escasso investimento em CAPS - tal situação vai de encontro à Reforma psiquiátrica e o processo de desinstitucionalização psiquiátrica prevista pela Lei 10.216/2001 . .                                                                                                                                                OB2.M17.3 (11) Esclarecimento sobre os 107  CAPS-AD e CAPS-AD III que estão faltando e a previsão da criação.</t>
  </si>
  <si>
    <t>OB2.M18.1 (04-07-09-11) Esclarecimento sobre a grande carência desse tipo de atendimento OB2.M18.2 (11) Informar o mapeamento de implementação dos leitos de saúde mental em hospitais gerais</t>
  </si>
  <si>
    <t>OB2.M19.1 (07-09)  Quais foram os motivos para o MS não ter cumprido a meta (PAS2019 E PNS)? OB2.M19.2 (07) O não atendimento às  metas 19 a 22 representa um franco descumprimento da legislação vigente no que tange o direito da pessoa com deficiência - solicitamos esclarecimentos robustos sobre o não cumprimento.                                                                                                             OB2.M19.3 (09) Quais foram os motivos para a redução da meta?</t>
  </si>
  <si>
    <t xml:space="preserve">OB2.M20.1 (03-04-07-09)  Quais foram os motivos para o MS não ter cumprido a meta (PAS2019)? OB2.M20.2 (03) Informações sobre quais os tipos de convênios foram realizados para implementação dos Centros Especializados em Reabilitação – CER e mapeamento de como estão distribuídos nos estados brasileiros.                                                                                                                                       OB2.M20.3 (07) O não atendimento às  metas 19 a 22 representa um franco descumprimento da legislação vigente no que tange o direito da pessoa com deficiência - solicitamos esclarecimentos robustos sobre o não cumprimento.                                                                                                             </t>
  </si>
  <si>
    <t xml:space="preserve">OB2.M21.1 (03-04-07-09)  Quais foram os motivos para o MS não ter cumprido a meta (PAS2019 E PNS)?                                                                                                                                                                OB2.M21.2 (03) O que se pretende fazer diante das consequências negativas para a saúde da população pelo não cumprimento das metas?                                                                                      OB2.M21.3 (03) Como foram distribuídas essas oficinas pelos Estados brasileiros?                    OB2.M21.4 (07) O não atendimento às  metas 19 a 22 representa um franco descumprimento da legislação vigente no que tange o direito da pessoa com deficiência - solicitamos esclarecimentos robustos sobre o não cumprimento. </t>
  </si>
  <si>
    <t xml:space="preserve">OB2.M22.1 (03-07-09)  Quais foram os motivos para o MS não ter cumprido a meta (PAS2019)?       OB2.M22.2 (03) Informações sobre quais os tipos de veículos sanitários foram entregues e mapeamento de como foram distribuídos nos Estados brasileiros.                                                 OB2.M22.3 (07) O não atendimento às  metas 19 a 22 representa um franco descumprimento da legislação vigente no que tange o direito da pessoa com deficiência - solicitamos esclarecimentos robustos sobre o não cumprimento. </t>
  </si>
  <si>
    <t>OB2.M25.1 (3) Quais foram os motivos para o MS não ter cumprido a meta (PNS)?                OB2.M25.2 (3) Qual a perspectiva de sanar o não cumprimento das metas?                                  OB2.M25.3 (3) O Conselho Nacional de Saúde será chamdo para contribuir e debater para complementar as diretrizes?</t>
  </si>
  <si>
    <t>OB3.M1.1 (04-07-09) Quais foram os motivos para o MS não ter cumprido a meta (PAS2019)?                                                                                                               OB3.M1.2 (04) Explicar as informações da página 52 do RAG 2019                                                                                                                                                OB3.M1.3 (09) Informações sobre ações para a saúde das mulheres lésbicas e dos casos de aborto legal, bem como das ações de enfrentamento às situações de violência contra as mulheres.</t>
  </si>
  <si>
    <t>OB3.M2.1 (04-07-09) Quais foram os motivos para o MS não ter cumprido a meta (PAS2019 E PNS)? OB3.M2.2 (07) Quais foram as estratégias adotadas para resolver as dificuldades de implantação e quais os serviços ativos atualmente?</t>
  </si>
  <si>
    <t xml:space="preserve">OB4.M1.1 (04-07-12) Quais foram os motivos para o MS não ter cumprido a meta (PAS2019 E PNS)? OB4.M1.2 (07) Informar a cobertura por Estado e região.                                                                     OB4.M1.3 (13)  Quando ocorreu a detecção do problema? Esse é o único laboratório em território nacional com capacidade de produzir esse imunibiológico? </t>
  </si>
  <si>
    <t xml:space="preserve">OB4.M2.1 (04-07) Quais foram os motivos para o MS não ter cumprido a meta (PAS2019 E PNS)?                                                                     OB4.M2.2 (13)  Quais medicamentos imunobiológicos deixaram de ser comprados nesse período? Em quais estados os pacientes deixaram de receber seu tratamento correto? </t>
  </si>
  <si>
    <t xml:space="preserve">OB4.M3.1 (04-07) Quais foram os motivos para o MS não ter cumprido a meta (PAS2019 E PNS)?    </t>
  </si>
  <si>
    <t>OB4.M4.1 (04) Quais foram os motivos para o MS não ter cumprido a meta (PNS)?                      OB4.M4.2 (12) Por que da diminuição da meta de 95% para 80%? Qual é o impacto para o resultado que se espera nos examinados entre contatos intradomiciliares</t>
  </si>
  <si>
    <t>OB4.M5.1 (07) Quais foram os motivos para o MS não ter cumprido a meta (PAS2019)?                      OB4.M5.2 (13) UNIÃO de 02 "Linhas de Financiamento DIFERENTES (1-IST/AIDS/Hepatites Virais&amp;2-Tuberculose) que ANTES eram separadas, precisa de uma explicação TÉCNICA onde se possa: identificar a COMPOSIÇÃO em SEPARADO de cada "Linha de Financiamento" antiga, explicando de forma ESPECIFICA cada verba e sua DESTINAÇÃO original (Finalidades DIFERENTES), até antes do DECRETO 9.795 - 17/05/2019 (Organograma das Áreas e suas Finalidades);</t>
  </si>
  <si>
    <t>OB4.M6.1 (04) Quais foram os motivos para o MS não ter cumprido a meta (PAS2019 E PNS)?                      OB4.M6.2 (13) Identificar CADA verba em separado, e COMO se deu a mudança (portaria interna, e/ou Nota Técnica, e/ou outro instrumento LEGAL), pra que ocorra a JUSTIFICATIVA técnica e legal desta "União de Linhas diferentes";</t>
  </si>
  <si>
    <t>OB4.M7.1 (04-07) Quais foram os motivos para o MS não ter cumprido a meta (PAS2019 E PNS)?   OB4.M7.2 (12) Esclarecimentos sobre a alteração da meta e impacto na avaliação da malária no Brasil</t>
  </si>
  <si>
    <t>OB4.M8.1 (04-12) Quais foram os motivos para o MS não ter cumprido a meta (PAS2019 E PNS)? OB4.M8.2 (07) Informações quanto às regiões que se encontram descobertas por CERESTs e quais as medidas do Governo Federal para correção do problema.                                                                  OB4.M8.3 (13) A que se deve o congelamento do índice em exatos 73,74% nos últimos 3 anos? Quais as regiões de saúde que não foram contempladas?                                                                               OB4.M8.4 (13) Em que situação está a discussão nos comitês técnicos da CIT sobre a implementação do novo modelo de CEREST? A Resolução CNS nº 603/2018 está sendo levada em consideração?</t>
  </si>
  <si>
    <t>OB4.M10.1 (04-12) Quais foram os motivos para o MS não ter cumprido a meta (PAS2019 E PNS)?  OB4.M10.2 (13) Quais as regiões e/ou cidades que não foram contempladas?</t>
  </si>
  <si>
    <t>OB4.M12.1 (4) Esclarecimento acerca de quais iniciativas foram realizadas pelo MS para aumentar o percentual de aldultos que consomem frutas e hortaliças regularmente.</t>
  </si>
  <si>
    <t>OB4.M13.1 (12) Quais foram os motivos para o MS não ter cumprido a meta (PAS2019 E PNS)?  OB4.M13.2 (12) Esclarecimento para a alteração da base de cálculo de escesso de peso para obesidade</t>
  </si>
  <si>
    <t>OB4.M16.1 (04-07-12) Quais foram os motivos para o MS não ter cumprido a meta (PAS2019 E PNS)?  OB4.M16.2 (13) Quais as regiões e/ou cidades que não foram contempladas?</t>
  </si>
  <si>
    <t>OB4.M17.1 (04-12) Quais foram os motivos para o MS não ter cumprido a meta (PAS2019 E PNS)?</t>
  </si>
  <si>
    <t>OB4.M18.1 (04-12) Quais foram os motivos para o MS não ter cumprido a meta (PAS2019 E PNS)?  OB4.M18.2 (13) Quais as regiões e/ou cidades que não foram contempladas?</t>
  </si>
  <si>
    <t>OB4.M19.1 (04-12) Quais foram os motivos para o MS não ter cumprido a meta (PAS2019 E PNS)?  OB4.M19.2 (13) Quais as regiões e/ou cidades que não foram contempladas?</t>
  </si>
  <si>
    <t xml:space="preserve">OB5.M3.1 (06-12) Se o problema está na aferição dos dados, como superar este problema? Quais as soluções propostas pela SESAI?  </t>
  </si>
  <si>
    <t>OB5.M4.1 (06) Quais foram os motivos para o MS não ter cumprido a meta (PAS2019 E PNS)?  OB5.M4.2 (12) Como e quando o MS pretende resolver os problemas apontados na sua justificativa?</t>
  </si>
  <si>
    <t>OB5.M7.1 (06) Quais foram os motivos para o MS não ter cumprido a meta (PAS2019 E PNS)?  OB5.M7.2 (12) Como e quando o MS pretende resolver os problemas apontados na sua justificativa?</t>
  </si>
  <si>
    <t>OB5.M8.1 (06) Quais foram os motivos para o MS não ter cumprido a meta (PAS2019 E PNS)?  OB5.M8.2 (12) Como e quando o MS pretende resolver os problemas apontados na sua justificativa?</t>
  </si>
  <si>
    <t>OB6.M4.1 (01) Apresentar detalhamento da composição deste indicador com a descrição por medicamento e insumo estratégico, quais doenças endêmicas foram contempladas na sua composição, com série histórica do programado e distribuição, justificativa para o aumento e/ou diminuição da distribuição, impacto orçamento/ financeiro e assistencial previsto (pacientes e/ou serviços de saúde atendidos), se possui PDP ou é de aquisição direta pelo órgão ou organismo internacional; Levando em conta o não atendimento das metas propostas para o período 2016/2019, esclarecer quais as razões pela não aquisição dos medicamentos da rede de laboratórios públicos; Quais os itens não adquiridos e quantidades? Quais as alternativas realizadas para atender a não aquisição, levando em conta o atendimento a demanda prevista? Quais os impactos financeiros da não aquisição dos produtores públicos?; Levando em conta o não atendimento das metas propostas para o período 2016/2019, posicionar-se quanto à continuidade ou não da aquisição dos produtores públicos brasileiros.                                                                                                                                               OB6.M4.2 (01) A justificativa presente na pág. 69 do RAG 2019 está incompleta.                        OB6.M4.3 (09).Solicitar dados estratificados sobre a distriuição bem como sobre os tipos de medicamento                                                                                                                                                   OB6.M4.4 (13) Quais doenças endêmicas foram mais severamente atingidas pela falta de medicação?</t>
  </si>
  <si>
    <t>OB6.M2.1 (01-09) Apresentar justificativas para a redução do Fator IX e as perspectivas para a garantia dos índices recomendados pela OMS para os diferentes tipos de fatores no tratamento de insulina; Esclarecer as razões pelo não atendimento das metas objetivadas, considerando a valor estratégico que envolve os produtos contemplados no item e o custo devido ao não atendimento, como valores de importação e comparação com os possíveis valores caso os itens fossem produzidos no Brasil/Hemobrás; Informar o impacto no atendimento causado pelo não atendimento das metas objetivadas para o ano de 2019 e para o período 2016/2019, as alternativas criadas pelo MS para redução destes impactos. À HEMOBRÁS: Esclarecer as razões pelo não atendimento das metas objetivadas, considerando a valor estratégico que envolve os produtos contemplados no item.  OB6.M2.2 (01) A justificativa presente na pág. 64 do RAG 2019 está incompleta.                         OB6.M2.3 (13) Quais as regiões e/ou cidades que não foram contempladas?</t>
  </si>
  <si>
    <t>OB6.M1.1 (04-07) Quais foram os motivos para o MS não ter cumprido a meta (PAS2019 E PNS)? OB6.M1.2 (01) Informar o impacto no atendimento causado pelo não atendimento das metas objetivadas para o ano de 2019, as alternativas criadas pelo MS para redução destes impactos e as principais cidades/regiões não atendidas.                                                                                                  OB6.M1.3 (01) A justificativa presente na pág. 64 do RAG 2019 está incompleta.                            OB6.M1.4 (09) Esclarecimento sobre a coleta de dados                                                                     OB6.M1.5 (13) Quais as regiões e/ou cidades que não foram contempladas?</t>
  </si>
  <si>
    <t>OB7.M2.1 (01) Quais foram os recursos orçamentários previstos na dotação inicial e atualizada, empenhados, liquidados e pagos referentes a essa meta? Estão alocados numa única ação orçamentária (qual)? Se os valores das despesas referentes a essa meta estiverem compartilhados com outras despesas em uma ou mais ações orçamentárias, favor informar quais e detalhar as informações solicitadas                                                                                                                                 OB7.M2.2 (01) A justificativa presente na pág. 68 do RAG 2019 está incompleta.</t>
  </si>
  <si>
    <t xml:space="preserve">OB7.M5.1 (01) Quais motivos para o não atendimento da meta? Quais pesquisas compuseram essa meta e situação atual de cada uma delas? Qual foi o impacto assistencial previsto e não alcançado como decorrência do descumprimento da meta?                                                                                  OB7.M5.2 (01)A justificativa presente na pág. 69 do RAG 2019 está incompleta. </t>
  </si>
  <si>
    <t xml:space="preserve">OB7.M7.1 (01) Quais pesquisas compõem essa meta e qual o impacto para SUS? Onde estão distribuídas essas pesquisas no território nacional e instituições envolvidas?  Informar se houve relação de parceria com o Ministério da Ciência e Tecnologia e Ministério da Educação para a realização das atividades relacionadas nas metas objetivadas.                                                                                     OB7.M7.2 (01) A justificativa presente na pág. 69 do RAG 2019 está incompleta. </t>
  </si>
  <si>
    <t>OB7.M8.1 (01) Informar se houve/qual impacto nos processos de judicialização em Saúde, tanto para o MS, quanto para os Estados; Informar os impactos positivos no atendimento às demandas por medicamentos no SUS - Quais protocolos estão previstos para elaboração? Quais protocolos estão previstos para revisão? Quais entidades e o custo envolvido nas revisões destes 50 PCDTs? Informar se houve/qual impacto nos processos de judicialização em Saúde, tanto para o MS, quanto para os Estados;                                                                                                                                                             OB7.M8.2 (01) A justificativa presente nas págs. 69 e 70 do RAG 2019 estão incompletas</t>
  </si>
  <si>
    <t>OB7.M9.1 (01) À HEMOBRÁS: Esclarecer as razões pelo não atendimento das metas objetivadas, considerando a valor estratégico que envolve os produtos contemplados no item.                      OB7.M9.2 (01) À SCTIE/MS: Esclarecer as razões pelo não atendimento das metas objetivadas, tanto para 2019, quanto para o período de 2016/2019, considerando a valor estratégico que envolve os produtos contemplados no item e o custo devido ao não atendimento, como valores de importação e comparação com os possíveis valores caso os itens fossem produzidos no Brasil/Hemobrás;           OB7.M9.3 (01) Informar o impacto no atendimento causado pelo não atendimento das metas objetivadas para o ano de 2019 e para o período 2016/2019, as alternativas criadas pelo MS para redução destes impactos.                                                                                                                            OB7.M9.4 (01) A justificativa presente na pág. 70 do RAG 2019 está incompleta</t>
  </si>
  <si>
    <t>0B7.M10.1 (01)À HEMOBRÁS: Esclarecer as razões pelo não atendimento das metas objetivadas, considerando a valor estratégico que envolve os produtos contemplados no item. À SCTIE/MS: Esclarecer as razões pelo não atendimento das metas objetivadas, tanto para 2019, quanto para o período de 2016/2019, OB7.M10.1 (01) Considerando o valor estratégico que envolve os produtos contemplados no item e o custo devido ao não atendimento, como valores de importação, qual seria o custo (maior ou menor que a importação) se fossem produzidos no Brasil/Hemobrás (apresentar quadro comparativo);                                                                                                                                  OB7.M10.2 (01) A justificativa presente na pág. 70 do RAG 2019 está incompleta</t>
  </si>
  <si>
    <t>OB8.M1.1 (01) A justificativa presente na pág. 72 do RAG 2019 está incompleta</t>
  </si>
  <si>
    <t>OB8.M3.1 (01) A justificativa presente na pág. 72 do RAG 2019 está incompleta</t>
  </si>
  <si>
    <t>OB8.M5.1 (01)À ANVISA: Esclarecer sobre a atual situação de regulação do mercado de agrotóxicos e implicações dos novos projetos de lei relacionados a regulação do mercado de agrotóxicos no país.       OB8.M5.2 (01) A justificativa presente na pág. 72 do RAG 2019 está incompleta</t>
  </si>
  <si>
    <t>OB9.M1.1 (15) A ANS deveria ter realizado fiscalização quanto à disponibilização do registro aos beneficiários desde 2012. Assim sendo, solicitamos esclarecimentos do MS quanto às medidas adotadas pela ANS para a fiscalização do cumprimento desta meta</t>
  </si>
  <si>
    <t>OB10.M1.1 (08) Quais foram os critério sultilizdos  para a distribuição dessas bolsas por região? Essa quantidade realizada atende a demanda (especificar a demanda)?</t>
  </si>
  <si>
    <t>OB10.M3.1 (08) Qual a razão para a meta não ter sido alcançada em nenhum dos anos do quadrienio, bem como não ser prevista em 2019?</t>
  </si>
  <si>
    <t>OB11.M2.1 (01) Quais Estados e Municípios foram contemplados com Ouvidorias do SUS?</t>
  </si>
  <si>
    <t xml:space="preserve">OB12.M7.1 (05) Especificar o tipo de apoio disponibilizado para os Conselhos de Saúde e se este apoio contemplou a realização de processo de formação e educação permanente para conselheiros de saúde. </t>
  </si>
  <si>
    <t>OB13.M1.1 Considerando que havia estudos sendo desenvolvidos até 2018 sobre a metodologia de critérios de rateio de recursos federais do SUS para Estados e Municípios, informar o que avançou desses estudos em 2019, bem como se outras ações foram desenvolvidas para esse fim (informar quais foram).</t>
  </si>
  <si>
    <t xml:space="preserve">OB13.M3.1 Quais foram os critérios técnicos adotados pelo MS para avaliação e aprovação/reprovação das emendas parlamentares individuais destinadas ao desenvolvimento de ações e serviços públicos de saúde em 2019? No caso das aprovadas, quais foram os critérios adotados para a execução orçamentária e financeira durante o exercício de 2019 (apresentar o cronograma de execução) </t>
  </si>
  <si>
    <t>OB13.M4.1 Explicitar quais foram as novas modalidades de repasses de recursos instituídas em 2019 para induzir as linhas de cuidado integral para acesso às especialidades, bem como os critérios adotados para esse fim.</t>
  </si>
  <si>
    <t>OB13.M5.1 Quais foram as ações desenvolvidas pelo MS que resultaram na redução do preço médio das aquisições contratuais baseadas em PDP?</t>
  </si>
  <si>
    <t>OB1.M17.1 (07-09-14) Quais foram os motivos para o MS não ter cumprido a meta (PAS2019 E PNS)? OB2.M17.2 (13) Se o Decreto Regulamentador é de 27.01.2010, porque não conseguiram realizar a transferência pelos meios estabelecidos nele?</t>
  </si>
  <si>
    <t xml:space="preserve">OB2.M4.1 (04) Explicar a divergência encontrada: As metas anuais (30+30+32+58) totalizam 150 e não 120, enquanto as realizadas (31+11+16+6) totalizam 64 diferente da nota de rodape #26 que indica 74.                                                                                                                                                                    OB2.M4.2 (07) Quais foram os motivos para o MS não ter cumprido a meta (PAS2019 E PNS)?  OB2.M4. 3 (07)  Informações sobre as regiões onde as ambiências foram adequadas e se as adequações envolvem a acessibilidade universal. </t>
  </si>
  <si>
    <t>OB2.M6.1 (04-07-09) Quais foram os motivos para o MS não ter cumprido a meta (PAS2019 E PNS)?            OB2.M6.2 (07) Informações onde foram implantadas</t>
  </si>
  <si>
    <t>OB5.M9.1 (12) Como e quando o MS pretende resolver os problemas apontados na sua justificativa?</t>
  </si>
  <si>
    <t>OB6.M3.1 (01) Apresentar detalhamento da composição deste indicador com a descrição por medicamento e insumo estratégico com série histórica do programado e distribuição, justificativa para o aumento e/ou diminuição da distribuição, impacto assistencial previsto (pacientes e/ou serviços de saúde atendidos.                                                                                                                                                OB6.M3.2 (01) A justificativa presente na pág. 36 do RAG 2019 está incompleta.                         OB6.M3.3 (13) Esses insumos foram suficientes para assistir todos os cidadãos que fazem uso deles em razão das patologias? Sabia-se da possibilidade de desabastecimento de algum deles?).</t>
  </si>
  <si>
    <t xml:space="preserve">OB7.M4.1 (01) Esclarecer as razões do não atendimento das metas para 2019, bem como para o período de 2016/2019 - Quais as alternativas foram propostas para a não implantação e os impactos financeiros, caso seja possível, da não implantação dos parques produtivos? Levando em conta a continuidade da implantação  das parcerias para o desenvolvimento produtivo (PDP), esclarecer quanto à continuidade do citado Programa em 2019 e, em caso negativo, quanto às alternativas propostas para o desenvolvimento nacional de pesquisa, inovação e expansão da produção nacional de tecnologias estratégicas para o SUS e para o atendimento a demanda geral. </t>
  </si>
  <si>
    <t>OB7.M3.1 (01) Esclarecer as razões do não atendimento das metas para 2019, bem como para o período de 2016/2019 - Quais as alternativas foram propostas para a não implantação e os impactos financeiros, caso seja possível, da não implantação dos novos medicamentos?; Levando em conta a continuidade da implantação  das parcerias para o desenvolvimento produtivo (PDP), esclarecer quanto à continuidade do citado Programa em 2019 e, em caso negativo, quanto às alternativas propostas para o desenvolvimento nacional de pesquisa, inovação e expansão da produção nacional de tecnologias estratégicas para o SUS.                                                                                                                 OB7.M3.2 (01) A justificativa presente na pág. 68 do RAG 2019 está incompleta.                       OB7.M3.3 (13) O que interferiu para o não alcance da obra: falta de incentivo à Pesquisa de novos fármacos?</t>
  </si>
  <si>
    <t>OB6.M5.1 (01)Apresentar os municípios selecionados 2018 e 2019, motivos para atraso nos repasses e apresentar os critérios de seleção detalhados por municípios; Levando em conta a continuidade da implantação  do Programa Nacional de Qualificação da Assistência Farmacêutica (Qualifar-SUS), esclarecer quanto à continuidade do citado Programa em 2019 e, caso não, as alternativas propostas para a substituição e as vantagens ou melhoramentos previstos.                                                                  OB6.M5.2 (01) A justificativa presente na pág. 64 do RAG 2019 está incompleta.                                                                                                     OB6.M5.3 (09) Informações adicionais sobre a hanseníase e as doenças negligenciadas que são carentes de novos medicamentos.</t>
  </si>
  <si>
    <t>OB7.M1.1 (01)   Quais internalizações estavam previstas e os valores programados para cada PDP? Quais foram e quais os motivos pelo rompimento de PDPs no ano de 2019? Levando em conta a continuidade da implantação  das PDPs, esclarecer quanto à continuidade do citado Programa em 2019 e, em caso negativo, qunto às alternativas propostas para o desenvolvimento nacional de pesquisa, inovação e expansão da produção nacional de tecnologias estratégicas para o SUS.                   OB7.M1.2 (01) A justificativa presente na pág. 65 do RAG 2019 está incompleta.</t>
  </si>
  <si>
    <t xml:space="preserve">OB7.M6.1 (01) Esclarecer as razões do não atendimento das metas para 2019; Quais as alternativas foram propostas para a não implantação e os impactos financeiros, caso seja possível, da não implantação dos parques produtivos?; Levando em conta a continuidade da implantação das parcerias para o desenvolvimento produtivo (PDP), esclarecer quanto à continuidade do citado Programa em 2019 e, caso não, as alternativas propostas para o desenvolvimento nacional de pesquisa, inovação e expansão da produção nacional de tecnologias estratégicas para o SUS e para o atendimento a demanda geral.                                                                                                                                               OB7.M5.2 (01)A justificativa presente nas págs. 68 e 89 do RAG 2019 está incompleta. </t>
  </si>
  <si>
    <t>OB8.M2.1 (01) À ANVISA: Esclarecer as razões pelo não atendimento das metas para 2019, considerando o impacto para a produção nacional de genéricos, como neste caso.                 OB8.M2.2 (01) A justificativa presente na pág. 72 do RAG 2019 está incompleta</t>
  </si>
  <si>
    <t>OB8.M4.1 (01) Quais os estados e municípios foram contemplados? Por que a meta não foi cumprida e quais estados e municípios não foram contemplados com o descumprimento da meta? Quais os impactos para a saúde da população pelo descumprimento da meta? Há estudos para definição da meta prevista (10), bem como sobre o quantitativo necessário (e respectivas localidades) de vigilâncias sanitárias? Em caso positivo, apresentar esses estudos.                                                        OB8.M4.2 (01) A justificativa presente na pág. 72 do RAG 2019 está incompleta</t>
  </si>
  <si>
    <t xml:space="preserve">OB11.M1.1 (01-07-09-15) À SE/MS: Esclarecer as razões pelo não atendimento das metas, tanto para 2019, quanto para o período de 2016/2019;                                                                          OB11.M1.2 (01) Quais foram os assuntos abordados nessas capacitações? Em quais os estados e municípios foram realizadas as capacitações (informar a participação consolidada por Estado)?                                                                                                                                                        OB11.M1.3 (01) A justificativa presente na pág. 79 do RAG 2019 está incompleta.       OB11.M1.4 (04) Informar as pessoas capacitadas por faixa etária                                         OB11.M1.5 (05) Que tipo de atividades de formações foram realizadas pelo MS (por meio da SAPS que incorporou as atribuições da extinta SGEP, segundo o que está especificado no relatório) para conselheiros de saúde/controle social? Em quais locais onde foram realizadas essas atividades? Quem executou e quem definiu conteúdos/temas abordados? Informar o perfil dos participantes nessas atividades.                                                                                    OB11.M1.6 (05)Considerando que foram detectadas diferenças no número de pessoas capacitadas em diferentes partes do relatório, informar com precisão qual foi o número de pessoas capaitadas anualmente no quadriênio de 2016 a 2019, bem como a totalização do período. </t>
  </si>
  <si>
    <t>OB11.M3.1 (01-07-09-12-15) À SE/MS: Esclarecer as razões pelo não atendimento das metas, tanto para 2019, quanto para o período de 2016/2019 - Quais os critérios para implantação dos Comitês de Política de Promoção de Equidade em Saúde?                                                                             OB11.M3.2 (01) A justificativa presente na pág. 79 do RAG 2019 está incompleta          OB11.M3.3 (04) Novos projetos estão sendo reavalidados pela gestão. Esclarecer como está o andamento  da implantação de novos projetos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</si>
</sst>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0_ ;\-#,##0\ "/>
    <numFmt numFmtId="166" formatCode="_-* #,##0_-;\-* #,##0_-;_-* &quot;-&quot;??_-;_-@_-"/>
  </numFmts>
  <fonts count="56" x14ac:knownFonts="1">
    <font>
      <sz val="11"/>
      <color theme="1"/>
      <name val="Calibri"/>
      <family val="2"/>
      <scheme val="minor"/>
    </font>
    <font>
      <sz val="11"/>
      <color theme="1"/>
      <name val="Calibri"/>
      <family val="2"/>
      <scheme val="minor"/>
    </font>
    <font>
      <u/>
      <sz val="11"/>
      <color theme="10"/>
      <name val="Calibri"/>
      <family val="2"/>
      <scheme val="minor"/>
    </font>
    <font>
      <b/>
      <sz val="13"/>
      <color theme="1"/>
      <name val="Calibri"/>
      <family val="2"/>
    </font>
    <font>
      <sz val="10"/>
      <color theme="1"/>
      <name val="Calibri"/>
      <family val="2"/>
      <scheme val="minor"/>
    </font>
    <font>
      <b/>
      <sz val="13"/>
      <color theme="0"/>
      <name val="Calibri"/>
      <family val="2"/>
    </font>
    <font>
      <b/>
      <sz val="10"/>
      <color rgb="FFFFFFFF"/>
      <name val="Calibri"/>
      <family val="2"/>
    </font>
    <font>
      <sz val="10"/>
      <color theme="1"/>
      <name val="Calibri"/>
      <family val="2"/>
    </font>
    <font>
      <sz val="10"/>
      <color theme="1"/>
      <name val="Times New Roman"/>
      <family val="1"/>
    </font>
    <font>
      <u/>
      <sz val="10"/>
      <color theme="10"/>
      <name val="Calibri"/>
      <family val="2"/>
      <scheme val="minor"/>
    </font>
    <font>
      <sz val="10"/>
      <color rgb="FF000000"/>
      <name val="Calibri"/>
      <family val="2"/>
    </font>
    <font>
      <sz val="10"/>
      <color theme="0"/>
      <name val="Calibri"/>
      <family val="2"/>
      <scheme val="minor"/>
    </font>
    <font>
      <sz val="9"/>
      <color theme="1"/>
      <name val="Calibri"/>
      <family val="2"/>
    </font>
    <font>
      <sz val="7"/>
      <color theme="1"/>
      <name val="Times New Roman"/>
      <family val="1"/>
    </font>
    <font>
      <sz val="9"/>
      <color rgb="FF000000"/>
      <name val="Calibri"/>
      <family val="2"/>
    </font>
    <font>
      <sz val="9"/>
      <name val="Calibri"/>
      <family val="2"/>
    </font>
    <font>
      <b/>
      <sz val="11"/>
      <color theme="1"/>
      <name val="Calibri"/>
      <family val="2"/>
    </font>
    <font>
      <b/>
      <sz val="9"/>
      <color rgb="FFFFFFFF"/>
      <name val="Calibri"/>
      <family val="2"/>
    </font>
    <font>
      <sz val="7"/>
      <color rgb="FF000000"/>
      <name val="Times New Roman"/>
      <family val="1"/>
    </font>
    <font>
      <b/>
      <sz val="12"/>
      <name val="Arial"/>
      <family val="2"/>
    </font>
    <font>
      <sz val="9.5"/>
      <color theme="1"/>
      <name val="Calibri"/>
      <family val="2"/>
    </font>
    <font>
      <sz val="8"/>
      <color theme="1"/>
      <name val="Calibri"/>
      <family val="2"/>
      <scheme val="minor"/>
    </font>
    <font>
      <sz val="9.5"/>
      <color rgb="FF000000"/>
      <name val="Calibri"/>
      <family val="2"/>
    </font>
    <font>
      <sz val="9"/>
      <color theme="1"/>
      <name val="Calibri"/>
      <family val="2"/>
      <scheme val="minor"/>
    </font>
    <font>
      <vertAlign val="superscript"/>
      <sz val="9"/>
      <color rgb="FF000000"/>
      <name val="Calibri"/>
      <family val="2"/>
    </font>
    <font>
      <b/>
      <sz val="9"/>
      <color theme="0"/>
      <name val="Calibri"/>
      <family val="2"/>
    </font>
    <font>
      <u/>
      <sz val="11"/>
      <color theme="0"/>
      <name val="Calibri"/>
      <family val="2"/>
      <scheme val="minor"/>
    </font>
    <font>
      <b/>
      <sz val="11"/>
      <color theme="1"/>
      <name val="Calibri"/>
      <family val="2"/>
      <scheme val="minor"/>
    </font>
    <font>
      <sz val="9"/>
      <color indexed="81"/>
      <name val="Tahoma"/>
      <family val="2"/>
    </font>
    <font>
      <b/>
      <sz val="9"/>
      <color indexed="81"/>
      <name val="Tahoma"/>
      <family val="2"/>
    </font>
    <font>
      <b/>
      <sz val="11"/>
      <color theme="8" tint="-0.249977111117893"/>
      <name val="Calibri"/>
      <family val="2"/>
      <scheme val="minor"/>
    </font>
    <font>
      <b/>
      <sz val="11"/>
      <color rgb="FFFF0000"/>
      <name val="Calibri"/>
      <family val="2"/>
      <scheme val="minor"/>
    </font>
    <font>
      <b/>
      <i/>
      <sz val="11"/>
      <color theme="1"/>
      <name val="Calibri"/>
      <family val="2"/>
      <scheme val="minor"/>
    </font>
    <font>
      <b/>
      <i/>
      <sz val="11"/>
      <color theme="8" tint="-0.249977111117893"/>
      <name val="Calibri"/>
      <family val="2"/>
      <scheme val="minor"/>
    </font>
    <font>
      <b/>
      <i/>
      <sz val="11"/>
      <color rgb="FFFF0000"/>
      <name val="Calibri"/>
      <family val="2"/>
      <scheme val="minor"/>
    </font>
    <font>
      <b/>
      <sz val="20"/>
      <color theme="1"/>
      <name val="Calibri"/>
      <family val="2"/>
      <scheme val="minor"/>
    </font>
    <font>
      <sz val="12"/>
      <color theme="1"/>
      <name val="Calibri"/>
      <family val="2"/>
      <scheme val="minor"/>
    </font>
    <font>
      <b/>
      <i/>
      <sz val="10"/>
      <color theme="1"/>
      <name val="Calibri"/>
      <family val="2"/>
      <scheme val="minor"/>
    </font>
    <font>
      <b/>
      <i/>
      <sz val="12"/>
      <color theme="1"/>
      <name val="Calibri"/>
      <family val="2"/>
      <scheme val="minor"/>
    </font>
    <font>
      <i/>
      <sz val="12"/>
      <color theme="1"/>
      <name val="Calibri"/>
      <family val="2"/>
      <scheme val="minor"/>
    </font>
    <font>
      <i/>
      <u/>
      <sz val="12"/>
      <color theme="1"/>
      <name val="Calibri"/>
      <family val="2"/>
      <scheme val="minor"/>
    </font>
    <font>
      <b/>
      <i/>
      <u/>
      <sz val="12"/>
      <color theme="1"/>
      <name val="Calibri"/>
      <family val="2"/>
      <scheme val="minor"/>
    </font>
    <font>
      <b/>
      <i/>
      <sz val="11"/>
      <name val="Calibri"/>
      <family val="2"/>
      <scheme val="minor"/>
    </font>
    <font>
      <b/>
      <sz val="10"/>
      <color theme="1"/>
      <name val="Calibri"/>
      <family val="2"/>
      <scheme val="minor"/>
    </font>
    <font>
      <b/>
      <sz val="20"/>
      <color theme="0"/>
      <name val="Calibri"/>
      <family val="2"/>
      <scheme val="minor"/>
    </font>
    <font>
      <b/>
      <sz val="11"/>
      <color theme="0"/>
      <name val="Calibri"/>
      <family val="2"/>
      <scheme val="minor"/>
    </font>
    <font>
      <sz val="11"/>
      <name val="Calibri"/>
      <family val="2"/>
      <scheme val="minor"/>
    </font>
    <font>
      <b/>
      <sz val="10"/>
      <color rgb="FF000000"/>
      <name val="Calibri"/>
      <family val="2"/>
    </font>
    <font>
      <sz val="8"/>
      <name val="Calibri"/>
      <family val="2"/>
      <scheme val="minor"/>
    </font>
    <font>
      <b/>
      <sz val="11"/>
      <color rgb="FFFFFFFF"/>
      <name val="Calibri"/>
      <family val="2"/>
    </font>
    <font>
      <sz val="11"/>
      <color rgb="FF000000"/>
      <name val="Arial"/>
      <family val="2"/>
    </font>
    <font>
      <b/>
      <i/>
      <sz val="10"/>
      <color rgb="FF000000"/>
      <name val="Arial"/>
      <family val="2"/>
    </font>
    <font>
      <sz val="10"/>
      <name val="Calibri"/>
      <family val="2"/>
      <scheme val="minor"/>
    </font>
    <font>
      <sz val="10"/>
      <color rgb="FFFF0000"/>
      <name val="Calibri"/>
      <family val="2"/>
      <scheme val="minor"/>
    </font>
    <font>
      <sz val="13"/>
      <color theme="1"/>
      <name val="Calibri"/>
      <family val="2"/>
      <scheme val="minor"/>
    </font>
    <font>
      <b/>
      <sz val="13"/>
      <name val="Calibri"/>
      <family val="2"/>
      <scheme val="minor"/>
    </font>
  </fonts>
  <fills count="23">
    <fill>
      <patternFill patternType="none"/>
    </fill>
    <fill>
      <patternFill patternType="gray125"/>
    </fill>
    <fill>
      <patternFill patternType="solid">
        <fgColor rgb="FF0070C0"/>
        <bgColor indexed="64"/>
      </patternFill>
    </fill>
    <fill>
      <patternFill patternType="solid">
        <fgColor rgb="FF1F497D"/>
        <bgColor indexed="64"/>
      </patternFill>
    </fill>
    <fill>
      <patternFill patternType="solid">
        <fgColor rgb="FFFF7C80"/>
        <bgColor indexed="64"/>
      </patternFill>
    </fill>
    <fill>
      <patternFill patternType="solid">
        <fgColor theme="9" tint="0.59999389629810485"/>
        <bgColor indexed="64"/>
      </patternFill>
    </fill>
    <fill>
      <patternFill patternType="solid">
        <fgColor rgb="FFFFFFFF"/>
        <bgColor indexed="64"/>
      </patternFill>
    </fill>
    <fill>
      <patternFill patternType="solid">
        <fgColor rgb="FFFFC000"/>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4.9989318521683403E-2"/>
        <bgColor indexed="9"/>
      </patternFill>
    </fill>
    <fill>
      <patternFill patternType="solid">
        <fgColor theme="0" tint="-0.249977111117893"/>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1" tint="4.9989318521683403E-2"/>
        <bgColor indexed="64"/>
      </patternFill>
    </fill>
    <fill>
      <patternFill patternType="solid">
        <fgColor theme="1"/>
        <bgColor indexed="64"/>
      </patternFill>
    </fill>
    <fill>
      <patternFill patternType="solid">
        <fgColor rgb="FF7030A0"/>
        <bgColor indexed="64"/>
      </patternFill>
    </fill>
    <fill>
      <patternFill patternType="solid">
        <fgColor rgb="FF4472C4"/>
        <bgColor indexed="64"/>
      </patternFill>
    </fill>
    <fill>
      <patternFill patternType="solid">
        <fgColor rgb="FFCFD5EA"/>
        <bgColor indexed="64"/>
      </patternFill>
    </fill>
    <fill>
      <patternFill patternType="solid">
        <fgColor rgb="FFE9EBF5"/>
        <bgColor indexed="64"/>
      </patternFill>
    </fill>
    <fill>
      <patternFill patternType="solid">
        <fgColor rgb="FF5B9BD5"/>
        <bgColor indexed="64"/>
      </patternFill>
    </fill>
    <fill>
      <patternFill patternType="solid">
        <fgColor rgb="FFFF0000"/>
        <bgColor indexed="64"/>
      </patternFill>
    </fill>
  </fills>
  <borders count="3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8"/>
      </right>
      <top style="thin">
        <color indexed="8"/>
      </top>
      <bottom style="thin">
        <color indexed="8"/>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rgb="FF000000"/>
      </bottom>
      <diagonal/>
    </border>
    <border>
      <left/>
      <right/>
      <top/>
      <bottom style="medium">
        <color rgb="FF000000"/>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style="thin">
        <color auto="1"/>
      </left>
      <right style="thin">
        <color auto="1"/>
      </right>
      <top style="thin">
        <color auto="1"/>
      </top>
      <bottom style="thin">
        <color auto="1"/>
      </bottom>
      <diagonal/>
    </border>
    <border>
      <left style="medium">
        <color rgb="FFFFFFFF"/>
      </left>
      <right style="medium">
        <color rgb="FFFFFFFF"/>
      </right>
      <top style="medium">
        <color rgb="FFFFFFFF"/>
      </top>
      <bottom style="thick">
        <color rgb="FFFFFFFF"/>
      </bottom>
      <diagonal/>
    </border>
    <border>
      <left style="medium">
        <color rgb="FFFFFFFF"/>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1" fillId="0" borderId="0"/>
  </cellStyleXfs>
  <cellXfs count="418">
    <xf numFmtId="0" fontId="0" fillId="0" borderId="0" xfId="0"/>
    <xf numFmtId="0" fontId="4" fillId="0" borderId="0" xfId="0" applyFont="1"/>
    <xf numFmtId="0" fontId="6" fillId="3" borderId="6"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7" fillId="0" borderId="13" xfId="0" applyFont="1" applyBorder="1" applyAlignment="1">
      <alignment horizontal="left" vertical="center" wrapText="1" indent="2"/>
    </xf>
    <xf numFmtId="0" fontId="9" fillId="0" borderId="10" xfId="3" applyFont="1" applyBorder="1" applyAlignment="1">
      <alignment vertical="center" wrapText="1"/>
    </xf>
    <xf numFmtId="3" fontId="7" fillId="0" borderId="10" xfId="0" applyNumberFormat="1" applyFont="1" applyBorder="1" applyAlignment="1">
      <alignment horizontal="center" vertical="center" wrapText="1"/>
    </xf>
    <xf numFmtId="0" fontId="9" fillId="0" borderId="10" xfId="3" applyFont="1" applyBorder="1" applyAlignment="1">
      <alignment horizontal="center" vertical="center" wrapText="1"/>
    </xf>
    <xf numFmtId="3" fontId="7" fillId="0" borderId="11" xfId="0" applyNumberFormat="1" applyFont="1" applyBorder="1" applyAlignment="1">
      <alignment horizontal="center" vertical="center" wrapText="1"/>
    </xf>
    <xf numFmtId="3" fontId="4" fillId="4" borderId="19" xfId="0" applyNumberFormat="1" applyFont="1" applyFill="1" applyBorder="1" applyAlignment="1">
      <alignment horizontal="center" vertical="center"/>
    </xf>
    <xf numFmtId="164" fontId="4" fillId="4" borderId="19" xfId="2" applyNumberFormat="1" applyFont="1" applyFill="1" applyBorder="1" applyAlignment="1">
      <alignment horizontal="center" vertical="center"/>
    </xf>
    <xf numFmtId="0" fontId="4" fillId="5" borderId="19" xfId="0" applyFont="1" applyFill="1" applyBorder="1" applyAlignment="1">
      <alignment horizontal="center" vertical="center"/>
    </xf>
    <xf numFmtId="10" fontId="4" fillId="4" borderId="20" xfId="2" applyNumberFormat="1" applyFont="1" applyFill="1" applyBorder="1" applyAlignment="1">
      <alignment horizontal="center" vertical="center"/>
    </xf>
    <xf numFmtId="0" fontId="7" fillId="0" borderId="10" xfId="0" applyFont="1" applyBorder="1" applyAlignment="1">
      <alignment vertical="center" wrapText="1"/>
    </xf>
    <xf numFmtId="3" fontId="4" fillId="4" borderId="20" xfId="0" applyNumberFormat="1" applyFont="1" applyFill="1" applyBorder="1" applyAlignment="1">
      <alignment horizontal="center" vertical="center"/>
    </xf>
    <xf numFmtId="9" fontId="4" fillId="4" borderId="20" xfId="2" applyFont="1" applyFill="1" applyBorder="1" applyAlignment="1">
      <alignment horizontal="center" vertical="center"/>
    </xf>
    <xf numFmtId="0" fontId="4" fillId="4" borderId="20" xfId="0" applyFont="1" applyFill="1" applyBorder="1" applyAlignment="1">
      <alignment horizontal="center" vertical="center"/>
    </xf>
    <xf numFmtId="0" fontId="4" fillId="5" borderId="20" xfId="0" applyFont="1" applyFill="1" applyBorder="1" applyAlignment="1">
      <alignment horizontal="center" vertical="center"/>
    </xf>
    <xf numFmtId="10" fontId="4" fillId="5" borderId="20" xfId="2" applyNumberFormat="1" applyFont="1" applyFill="1" applyBorder="1" applyAlignment="1">
      <alignment horizontal="center" vertical="center"/>
    </xf>
    <xf numFmtId="0" fontId="7"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9" fillId="0" borderId="11" xfId="3" applyFont="1" applyBorder="1" applyAlignment="1">
      <alignment horizontal="center" vertical="center" wrapText="1"/>
    </xf>
    <xf numFmtId="3" fontId="4" fillId="7" borderId="20" xfId="0" applyNumberFormat="1" applyFont="1" applyFill="1" applyBorder="1" applyAlignment="1">
      <alignment horizontal="center" vertical="center"/>
    </xf>
    <xf numFmtId="0" fontId="4" fillId="7" borderId="20" xfId="0" applyFont="1" applyFill="1" applyBorder="1" applyAlignment="1">
      <alignment horizontal="center" vertical="center" wrapText="1"/>
    </xf>
    <xf numFmtId="0" fontId="7" fillId="0" borderId="11" xfId="0" applyFont="1" applyBorder="1" applyAlignment="1">
      <alignment horizontal="center" vertical="center" wrapText="1"/>
    </xf>
    <xf numFmtId="9" fontId="7" fillId="0" borderId="10" xfId="0" applyNumberFormat="1" applyFont="1" applyBorder="1" applyAlignment="1">
      <alignment horizontal="center" vertical="center" wrapText="1"/>
    </xf>
    <xf numFmtId="10" fontId="7" fillId="0" borderId="10" xfId="0" applyNumberFormat="1" applyFont="1" applyBorder="1" applyAlignment="1">
      <alignment horizontal="center" vertical="center" wrapText="1"/>
    </xf>
    <xf numFmtId="10" fontId="7" fillId="0" borderId="11" xfId="0" applyNumberFormat="1" applyFont="1" applyBorder="1" applyAlignment="1">
      <alignment horizontal="center" vertical="center" wrapText="1"/>
    </xf>
    <xf numFmtId="1" fontId="4" fillId="5" borderId="20" xfId="2" applyNumberFormat="1" applyFont="1" applyFill="1" applyBorder="1" applyAlignment="1">
      <alignment horizontal="center" vertical="center" wrapText="1"/>
    </xf>
    <xf numFmtId="9" fontId="4" fillId="5" borderId="20" xfId="2" applyFont="1" applyFill="1" applyBorder="1" applyAlignment="1">
      <alignment horizontal="center" vertical="center"/>
    </xf>
    <xf numFmtId="0" fontId="4" fillId="5" borderId="20" xfId="0" applyFont="1" applyFill="1" applyBorder="1" applyAlignment="1">
      <alignment horizontal="center" vertical="center" wrapText="1"/>
    </xf>
    <xf numFmtId="3" fontId="4" fillId="5" borderId="20" xfId="0" applyNumberFormat="1" applyFont="1" applyFill="1" applyBorder="1" applyAlignment="1">
      <alignment horizontal="center" vertical="center"/>
    </xf>
    <xf numFmtId="0" fontId="9" fillId="0" borderId="11" xfId="3" applyFont="1" applyBorder="1" applyAlignment="1">
      <alignment vertical="center" wrapText="1"/>
    </xf>
    <xf numFmtId="1" fontId="4" fillId="5" borderId="20" xfId="2" applyNumberFormat="1" applyFont="1" applyFill="1" applyBorder="1" applyAlignment="1">
      <alignment horizontal="center" vertical="center"/>
    </xf>
    <xf numFmtId="0" fontId="4" fillId="4" borderId="20" xfId="0" applyFont="1" applyFill="1" applyBorder="1" applyAlignment="1">
      <alignment horizontal="center" vertical="center" wrapText="1"/>
    </xf>
    <xf numFmtId="164" fontId="4" fillId="4" borderId="20" xfId="2" applyNumberFormat="1" applyFont="1" applyFill="1" applyBorder="1" applyAlignment="1">
      <alignment horizontal="center" vertical="center"/>
    </xf>
    <xf numFmtId="11" fontId="10" fillId="6" borderId="9" xfId="0" quotePrefix="1" applyNumberFormat="1" applyFont="1" applyFill="1" applyBorder="1" applyAlignment="1">
      <alignment horizontal="center" vertical="center" wrapText="1"/>
    </xf>
    <xf numFmtId="0" fontId="4" fillId="7" borderId="20" xfId="0" applyFont="1" applyFill="1" applyBorder="1" applyAlignment="1">
      <alignment horizontal="center" vertical="center"/>
    </xf>
    <xf numFmtId="10" fontId="4" fillId="5" borderId="21" xfId="2" applyNumberFormat="1" applyFont="1" applyFill="1" applyBorder="1" applyAlignment="1">
      <alignment horizontal="center" vertical="center"/>
    </xf>
    <xf numFmtId="0" fontId="4" fillId="0" borderId="21" xfId="0" applyFont="1" applyBorder="1"/>
    <xf numFmtId="0" fontId="10" fillId="6" borderId="21" xfId="0" applyFont="1" applyFill="1" applyBorder="1" applyAlignment="1">
      <alignment horizontal="center" vertical="center" wrapText="1"/>
    </xf>
    <xf numFmtId="0" fontId="4" fillId="0" borderId="0" xfId="0" applyFont="1" applyAlignment="1">
      <alignment horizontal="center" vertical="center"/>
    </xf>
    <xf numFmtId="0" fontId="9" fillId="0" borderId="0" xfId="3" applyFont="1" applyAlignment="1">
      <alignment vertical="center"/>
    </xf>
    <xf numFmtId="0" fontId="3" fillId="0" borderId="0" xfId="0" applyFont="1" applyAlignment="1">
      <alignment horizontal="left" vertical="center" wrapText="1"/>
    </xf>
    <xf numFmtId="0" fontId="12" fillId="0" borderId="13" xfId="0" applyFont="1" applyBorder="1" applyAlignment="1">
      <alignment horizontal="left" vertical="center" wrapText="1" indent="2"/>
    </xf>
    <xf numFmtId="0" fontId="12" fillId="0" borderId="10" xfId="0" applyFont="1" applyBorder="1" applyAlignment="1">
      <alignment vertical="center" wrapText="1"/>
    </xf>
    <xf numFmtId="0" fontId="12" fillId="0" borderId="10" xfId="0" applyFont="1" applyBorder="1" applyAlignment="1">
      <alignment horizontal="center" vertical="center" wrapText="1"/>
    </xf>
    <xf numFmtId="0" fontId="14" fillId="0" borderId="10" xfId="0" applyFont="1" applyBorder="1" applyAlignment="1">
      <alignment horizontal="center" vertical="center" wrapText="1"/>
    </xf>
    <xf numFmtId="0" fontId="15" fillId="0" borderId="10" xfId="0" applyFont="1" applyBorder="1" applyAlignment="1">
      <alignment horizontal="center" vertical="center" wrapText="1"/>
    </xf>
    <xf numFmtId="0" fontId="2" fillId="0" borderId="11" xfId="3" applyBorder="1" applyAlignment="1">
      <alignment horizontal="center" vertical="center" wrapText="1"/>
    </xf>
    <xf numFmtId="3" fontId="12" fillId="0" borderId="10" xfId="0" applyNumberFormat="1" applyFont="1" applyBorder="1" applyAlignment="1">
      <alignment horizontal="center" vertical="center"/>
    </xf>
    <xf numFmtId="3" fontId="12" fillId="0" borderId="10" xfId="0" applyNumberFormat="1" applyFont="1" applyBorder="1" applyAlignment="1">
      <alignment horizontal="center" vertical="center" wrapText="1"/>
    </xf>
    <xf numFmtId="3" fontId="14" fillId="0" borderId="10" xfId="0" applyNumberFormat="1" applyFont="1" applyBorder="1" applyAlignment="1">
      <alignment horizontal="center" vertical="center" wrapText="1"/>
    </xf>
    <xf numFmtId="164" fontId="4" fillId="5" borderId="20" xfId="2" applyNumberFormat="1" applyFont="1" applyFill="1" applyBorder="1" applyAlignment="1">
      <alignment horizontal="center" vertical="center"/>
    </xf>
    <xf numFmtId="0" fontId="14" fillId="6" borderId="10" xfId="0" applyFont="1" applyFill="1" applyBorder="1" applyAlignment="1">
      <alignment horizontal="center" vertical="center" wrapText="1"/>
    </xf>
    <xf numFmtId="0" fontId="15" fillId="0" borderId="10" xfId="0" applyFont="1" applyBorder="1" applyAlignment="1">
      <alignment vertical="center" wrapText="1"/>
    </xf>
    <xf numFmtId="0" fontId="4" fillId="9" borderId="20" xfId="0" applyFont="1" applyFill="1" applyBorder="1" applyAlignment="1">
      <alignment horizontal="center" vertical="center"/>
    </xf>
    <xf numFmtId="3" fontId="14" fillId="6" borderId="10" xfId="0" applyNumberFormat="1" applyFont="1" applyFill="1" applyBorder="1" applyAlignment="1">
      <alignment horizontal="center" vertical="center" wrapText="1"/>
    </xf>
    <xf numFmtId="3" fontId="15" fillId="0" borderId="10" xfId="0" applyNumberFormat="1" applyFont="1" applyBorder="1" applyAlignment="1">
      <alignment horizontal="center" vertical="center" wrapText="1"/>
    </xf>
    <xf numFmtId="0" fontId="14"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16" fillId="0" borderId="0" xfId="0" applyFont="1" applyAlignment="1">
      <alignment horizontal="left" vertical="center"/>
    </xf>
    <xf numFmtId="0" fontId="0" fillId="0" borderId="0" xfId="0" applyAlignment="1">
      <alignment horizontal="left"/>
    </xf>
    <xf numFmtId="0" fontId="4" fillId="0" borderId="0" xfId="0" applyFont="1" applyAlignment="1">
      <alignment horizontal="left" vertical="center"/>
    </xf>
    <xf numFmtId="0" fontId="4" fillId="0" borderId="0" xfId="0" applyFont="1" applyAlignment="1">
      <alignment horizontal="left"/>
    </xf>
    <xf numFmtId="0" fontId="7" fillId="0" borderId="13" xfId="0" applyFont="1" applyBorder="1" applyAlignment="1">
      <alignment horizontal="left" vertical="center" wrapText="1"/>
    </xf>
    <xf numFmtId="0" fontId="2" fillId="0" borderId="0" xfId="3" applyAlignment="1">
      <alignment horizontal="left" vertical="center"/>
    </xf>
    <xf numFmtId="0" fontId="17" fillId="3" borderId="6" xfId="0" applyFont="1" applyFill="1" applyBorder="1" applyAlignment="1">
      <alignment horizontal="center" vertical="center" wrapText="1"/>
    </xf>
    <xf numFmtId="0" fontId="17" fillId="3" borderId="10" xfId="0" applyFont="1" applyFill="1" applyBorder="1" applyAlignment="1">
      <alignment horizontal="center" vertical="center" wrapText="1"/>
    </xf>
    <xf numFmtId="0" fontId="2" fillId="0" borderId="13" xfId="3" applyBorder="1" applyAlignment="1">
      <alignment horizontal="left" vertical="center" wrapText="1" indent="2"/>
    </xf>
    <xf numFmtId="0" fontId="14" fillId="0" borderId="10" xfId="0" applyFont="1" applyBorder="1" applyAlignment="1">
      <alignment vertical="center" wrapText="1"/>
    </xf>
    <xf numFmtId="0" fontId="7" fillId="6" borderId="1" xfId="0" applyFont="1" applyFill="1" applyBorder="1" applyAlignment="1">
      <alignment horizontal="center" vertical="center" wrapText="1"/>
    </xf>
    <xf numFmtId="0" fontId="14" fillId="0" borderId="13" xfId="0" applyFont="1" applyBorder="1" applyAlignment="1">
      <alignment horizontal="left" vertical="center" wrapText="1" indent="2"/>
    </xf>
    <xf numFmtId="0" fontId="12" fillId="0" borderId="0" xfId="0" applyFont="1" applyAlignment="1">
      <alignment horizontal="left" vertical="center" wrapText="1" indent="2"/>
    </xf>
    <xf numFmtId="0" fontId="12" fillId="0" borderId="0" xfId="0" applyFont="1" applyAlignment="1">
      <alignment vertical="center" wrapText="1"/>
    </xf>
    <xf numFmtId="3" fontId="12" fillId="0" borderId="0" xfId="0" applyNumberFormat="1" applyFont="1" applyAlignment="1">
      <alignment horizontal="center" vertical="center"/>
    </xf>
    <xf numFmtId="0" fontId="12" fillId="0" borderId="0" xfId="0" applyFont="1" applyAlignment="1">
      <alignment horizontal="center" vertical="center" wrapText="1"/>
    </xf>
    <xf numFmtId="3" fontId="12" fillId="0" borderId="0" xfId="0" applyNumberFormat="1" applyFont="1" applyAlignment="1">
      <alignment horizontal="center" vertical="center" wrapText="1"/>
    </xf>
    <xf numFmtId="3" fontId="14" fillId="0" borderId="0" xfId="0" applyNumberFormat="1" applyFont="1" applyAlignment="1">
      <alignment horizontal="center" vertical="center" wrapText="1"/>
    </xf>
    <xf numFmtId="0" fontId="2" fillId="0" borderId="0" xfId="3" applyBorder="1" applyAlignment="1">
      <alignment horizontal="center" vertical="center" wrapText="1"/>
    </xf>
    <xf numFmtId="3" fontId="4" fillId="0" borderId="0" xfId="0" applyNumberFormat="1" applyFont="1" applyAlignment="1">
      <alignment horizontal="center" vertical="center"/>
    </xf>
    <xf numFmtId="0" fontId="2" fillId="0" borderId="0" xfId="3" applyAlignment="1">
      <alignment horizontal="left" vertical="center" wrapText="1"/>
    </xf>
    <xf numFmtId="0" fontId="19" fillId="10" borderId="22" xfId="0" applyFont="1" applyFill="1" applyBorder="1" applyAlignment="1">
      <alignment vertical="center"/>
    </xf>
    <xf numFmtId="0" fontId="17" fillId="3" borderId="3" xfId="0" applyFont="1" applyFill="1" applyBorder="1" applyAlignment="1">
      <alignment horizontal="center" vertical="center" wrapText="1"/>
    </xf>
    <xf numFmtId="0" fontId="12" fillId="0" borderId="23" xfId="0" applyFont="1" applyBorder="1" applyAlignment="1">
      <alignment horizontal="left" vertical="center" wrapText="1" indent="2"/>
    </xf>
    <xf numFmtId="0" fontId="12" fillId="0" borderId="3" xfId="0" applyFont="1" applyBorder="1" applyAlignment="1">
      <alignment vertical="center" wrapText="1"/>
    </xf>
    <xf numFmtId="10" fontId="12" fillId="0" borderId="10" xfId="0" applyNumberFormat="1" applyFont="1" applyBorder="1" applyAlignment="1">
      <alignment horizontal="center" vertical="center" wrapText="1"/>
    </xf>
    <xf numFmtId="10" fontId="14" fillId="6" borderId="10" xfId="0" applyNumberFormat="1" applyFont="1" applyFill="1" applyBorder="1" applyAlignment="1">
      <alignment horizontal="center" vertical="center" wrapText="1"/>
    </xf>
    <xf numFmtId="9" fontId="14" fillId="6" borderId="10" xfId="0" applyNumberFormat="1" applyFont="1" applyFill="1" applyBorder="1" applyAlignment="1">
      <alignment horizontal="center" vertical="center" wrapText="1"/>
    </xf>
    <xf numFmtId="0" fontId="2" fillId="6" borderId="11" xfId="3" applyFill="1" applyBorder="1" applyAlignment="1">
      <alignment horizontal="center" vertical="center" wrapText="1"/>
    </xf>
    <xf numFmtId="3" fontId="4" fillId="4" borderId="20" xfId="0" applyNumberFormat="1" applyFont="1" applyFill="1" applyBorder="1" applyAlignment="1">
      <alignment horizontal="center" vertical="center" wrapText="1"/>
    </xf>
    <xf numFmtId="10" fontId="4" fillId="4" borderId="20" xfId="2" applyNumberFormat="1" applyFont="1" applyFill="1" applyBorder="1" applyAlignment="1">
      <alignment horizontal="center" vertical="center" wrapText="1"/>
    </xf>
    <xf numFmtId="0" fontId="20" fillId="6" borderId="1" xfId="0" applyFont="1" applyFill="1" applyBorder="1" applyAlignment="1">
      <alignment horizontal="center" vertical="center" wrapText="1"/>
    </xf>
    <xf numFmtId="9" fontId="12" fillId="0" borderId="10" xfId="0" applyNumberFormat="1" applyFont="1" applyBorder="1" applyAlignment="1">
      <alignment horizontal="center" vertical="center" wrapText="1"/>
    </xf>
    <xf numFmtId="9" fontId="12" fillId="0" borderId="10" xfId="0" applyNumberFormat="1" applyFont="1" applyBorder="1" applyAlignment="1">
      <alignment horizontal="center" vertical="center"/>
    </xf>
    <xf numFmtId="0" fontId="21" fillId="4" borderId="20" xfId="0" applyFont="1" applyFill="1" applyBorder="1" applyAlignment="1">
      <alignment horizontal="center" vertical="center" wrapText="1"/>
    </xf>
    <xf numFmtId="0" fontId="22" fillId="6" borderId="9" xfId="0" applyFont="1" applyFill="1" applyBorder="1" applyAlignment="1">
      <alignment horizontal="center" vertical="center" wrapText="1"/>
    </xf>
    <xf numFmtId="9" fontId="14" fillId="0" borderId="10" xfId="0" applyNumberFormat="1" applyFont="1" applyBorder="1" applyAlignment="1">
      <alignment horizontal="center" vertical="center" wrapText="1"/>
    </xf>
    <xf numFmtId="10" fontId="14" fillId="0" borderId="10" xfId="0" applyNumberFormat="1" applyFont="1" applyBorder="1" applyAlignment="1">
      <alignment horizontal="center" vertical="center" wrapText="1"/>
    </xf>
    <xf numFmtId="10" fontId="12" fillId="0" borderId="10" xfId="0" applyNumberFormat="1" applyFont="1" applyBorder="1" applyAlignment="1">
      <alignment horizontal="center" vertical="center"/>
    </xf>
    <xf numFmtId="0" fontId="2" fillId="0" borderId="10" xfId="3" applyBorder="1" applyAlignment="1">
      <alignment horizontal="center" vertical="center" wrapText="1"/>
    </xf>
    <xf numFmtId="10" fontId="12" fillId="0" borderId="11" xfId="0" applyNumberFormat="1" applyFont="1" applyBorder="1" applyAlignment="1">
      <alignment horizontal="center" vertical="center" wrapText="1"/>
    </xf>
    <xf numFmtId="0" fontId="12" fillId="0" borderId="7" xfId="0" applyFont="1" applyBorder="1" applyAlignment="1">
      <alignment horizontal="left" vertical="center" wrapText="1" indent="2"/>
    </xf>
    <xf numFmtId="0" fontId="12" fillId="0" borderId="7" xfId="0" applyFont="1" applyBorder="1" applyAlignment="1">
      <alignment vertical="center" wrapText="1"/>
    </xf>
    <xf numFmtId="9" fontId="12" fillId="0" borderId="7" xfId="0" applyNumberFormat="1" applyFont="1" applyBorder="1" applyAlignment="1">
      <alignment horizontal="center" vertical="center"/>
    </xf>
    <xf numFmtId="10" fontId="12" fillId="0" borderId="7" xfId="0" applyNumberFormat="1" applyFont="1" applyBorder="1" applyAlignment="1">
      <alignment horizontal="center" vertical="center"/>
    </xf>
    <xf numFmtId="10" fontId="12" fillId="0" borderId="7" xfId="0" applyNumberFormat="1" applyFont="1" applyBorder="1" applyAlignment="1">
      <alignment horizontal="center" vertical="center" wrapText="1"/>
    </xf>
    <xf numFmtId="10" fontId="14" fillId="6" borderId="7" xfId="0" applyNumberFormat="1" applyFont="1" applyFill="1" applyBorder="1" applyAlignment="1">
      <alignment horizontal="center" vertical="center"/>
    </xf>
    <xf numFmtId="9" fontId="14" fillId="6" borderId="7" xfId="0" applyNumberFormat="1" applyFont="1" applyFill="1" applyBorder="1" applyAlignment="1">
      <alignment horizontal="center" vertical="center" wrapText="1"/>
    </xf>
    <xf numFmtId="9" fontId="14" fillId="6" borderId="4" xfId="0" applyNumberFormat="1" applyFont="1" applyFill="1" applyBorder="1" applyAlignment="1">
      <alignment horizontal="center" vertical="center" wrapText="1"/>
    </xf>
    <xf numFmtId="0" fontId="21" fillId="5" borderId="20" xfId="0" applyFont="1" applyFill="1" applyBorder="1" applyAlignment="1">
      <alignment horizontal="center" vertical="center" wrapText="1"/>
    </xf>
    <xf numFmtId="0" fontId="22" fillId="6" borderId="1" xfId="0" applyFont="1" applyFill="1" applyBorder="1" applyAlignment="1">
      <alignment horizontal="center" vertical="center" wrapText="1"/>
    </xf>
    <xf numFmtId="0" fontId="4" fillId="0" borderId="0" xfId="0" applyFont="1" applyAlignment="1">
      <alignment vertical="center" wrapText="1"/>
    </xf>
    <xf numFmtId="10" fontId="14" fillId="6" borderId="10" xfId="0" applyNumberFormat="1" applyFont="1" applyFill="1" applyBorder="1" applyAlignment="1">
      <alignment horizontal="center" vertical="center"/>
    </xf>
    <xf numFmtId="3" fontId="14" fillId="6" borderId="10" xfId="0" applyNumberFormat="1" applyFont="1" applyFill="1" applyBorder="1" applyAlignment="1">
      <alignment horizontal="center" vertical="center"/>
    </xf>
    <xf numFmtId="10" fontId="14" fillId="6" borderId="11" xfId="0" applyNumberFormat="1" applyFont="1" applyFill="1" applyBorder="1" applyAlignment="1">
      <alignment horizontal="center" vertical="center" wrapText="1"/>
    </xf>
    <xf numFmtId="0" fontId="23" fillId="4" borderId="20" xfId="0" applyFont="1" applyFill="1" applyBorder="1" applyAlignment="1">
      <alignment horizontal="center" vertical="center" wrapText="1"/>
    </xf>
    <xf numFmtId="0" fontId="14" fillId="0" borderId="10" xfId="0" applyFont="1" applyBorder="1" applyAlignment="1">
      <alignment horizontal="center" vertical="center"/>
    </xf>
    <xf numFmtId="0" fontId="14" fillId="6" borderId="10" xfId="0" applyFont="1" applyFill="1" applyBorder="1" applyAlignment="1">
      <alignment horizontal="center" vertical="center"/>
    </xf>
    <xf numFmtId="0" fontId="12" fillId="0" borderId="10" xfId="0" applyFont="1" applyBorder="1" applyAlignment="1">
      <alignment horizontal="center" vertical="center"/>
    </xf>
    <xf numFmtId="9" fontId="14" fillId="6" borderId="24" xfId="0" applyNumberFormat="1" applyFont="1" applyFill="1" applyBorder="1" applyAlignment="1">
      <alignment horizontal="center" vertical="center" wrapText="1"/>
    </xf>
    <xf numFmtId="10" fontId="14" fillId="6" borderId="0" xfId="0" applyNumberFormat="1" applyFont="1" applyFill="1" applyAlignment="1">
      <alignment horizontal="center" vertical="center" wrapText="1"/>
    </xf>
    <xf numFmtId="0" fontId="4" fillId="0" borderId="20" xfId="0" applyFont="1" applyBorder="1" applyAlignment="1">
      <alignment horizontal="center" vertical="center"/>
    </xf>
    <xf numFmtId="0" fontId="14" fillId="6" borderId="11" xfId="0" applyFont="1" applyFill="1" applyBorder="1" applyAlignment="1">
      <alignment horizontal="center" vertical="center" wrapText="1"/>
    </xf>
    <xf numFmtId="3" fontId="12" fillId="0" borderId="11" xfId="0" applyNumberFormat="1" applyFont="1" applyBorder="1" applyAlignment="1">
      <alignment horizontal="center" vertical="center" wrapText="1"/>
    </xf>
    <xf numFmtId="3" fontId="14" fillId="6" borderId="11" xfId="0" applyNumberFormat="1" applyFont="1" applyFill="1" applyBorder="1" applyAlignment="1">
      <alignment horizontal="center" vertical="center" wrapText="1"/>
    </xf>
    <xf numFmtId="0" fontId="22" fillId="6" borderId="0" xfId="0" applyFont="1" applyFill="1" applyAlignment="1">
      <alignment horizontal="center" vertical="center" wrapText="1"/>
    </xf>
    <xf numFmtId="0" fontId="25" fillId="3" borderId="6" xfId="0" applyFont="1" applyFill="1" applyBorder="1" applyAlignment="1">
      <alignment horizontal="center" vertical="center" wrapText="1"/>
    </xf>
    <xf numFmtId="0" fontId="11" fillId="0" borderId="0" xfId="0" applyFont="1"/>
    <xf numFmtId="0" fontId="25" fillId="3" borderId="10" xfId="0" applyFont="1" applyFill="1" applyBorder="1" applyAlignment="1">
      <alignment horizontal="center" vertical="center" wrapText="1"/>
    </xf>
    <xf numFmtId="0" fontId="26" fillId="3" borderId="10" xfId="3" applyFont="1" applyFill="1" applyBorder="1" applyAlignment="1">
      <alignment horizontal="center" vertical="center" wrapText="1"/>
    </xf>
    <xf numFmtId="9" fontId="14" fillId="0" borderId="11" xfId="0" applyNumberFormat="1" applyFont="1" applyBorder="1" applyAlignment="1">
      <alignment horizontal="center" vertical="center" wrapText="1"/>
    </xf>
    <xf numFmtId="0" fontId="7" fillId="0" borderId="1" xfId="0" applyFont="1" applyBorder="1" applyAlignment="1">
      <alignment horizontal="center" vertical="center" wrapText="1"/>
    </xf>
    <xf numFmtId="10" fontId="14" fillId="0" borderId="11" xfId="0" applyNumberFormat="1" applyFont="1" applyBorder="1" applyAlignment="1">
      <alignment horizontal="center" vertical="center" wrapText="1"/>
    </xf>
    <xf numFmtId="0" fontId="2" fillId="0" borderId="0" xfId="3" applyAlignment="1">
      <alignment horizontal="justify" vertical="center"/>
    </xf>
    <xf numFmtId="0" fontId="12" fillId="0" borderId="24" xfId="0" applyFont="1" applyBorder="1" applyAlignment="1">
      <alignment horizontal="center" vertical="center" wrapText="1"/>
    </xf>
    <xf numFmtId="0" fontId="4" fillId="7" borderId="21" xfId="0" applyFont="1" applyFill="1" applyBorder="1" applyAlignment="1">
      <alignment horizontal="center" vertical="center"/>
    </xf>
    <xf numFmtId="9" fontId="12" fillId="0" borderId="11" xfId="0" applyNumberFormat="1" applyFont="1" applyBorder="1" applyAlignment="1">
      <alignment horizontal="center" vertical="center" wrapText="1"/>
    </xf>
    <xf numFmtId="0" fontId="10" fillId="6" borderId="20" xfId="0" applyFont="1" applyFill="1" applyBorder="1" applyAlignment="1">
      <alignment horizontal="center" vertical="center" wrapText="1"/>
    </xf>
    <xf numFmtId="0" fontId="7" fillId="0" borderId="20" xfId="0" applyFont="1" applyBorder="1" applyAlignment="1">
      <alignment horizontal="center" vertical="center" wrapText="1"/>
    </xf>
    <xf numFmtId="0" fontId="2" fillId="0" borderId="0" xfId="3" applyAlignment="1">
      <alignment vertical="center"/>
    </xf>
    <xf numFmtId="0" fontId="12" fillId="0" borderId="13" xfId="0" applyFont="1" applyBorder="1" applyAlignment="1">
      <alignment horizontal="left" vertical="center" wrapText="1" indent="3"/>
    </xf>
    <xf numFmtId="0" fontId="12" fillId="0" borderId="11" xfId="0" applyFont="1" applyBorder="1" applyAlignment="1">
      <alignment horizontal="center" vertical="center" wrapText="1"/>
    </xf>
    <xf numFmtId="0" fontId="7" fillId="6" borderId="9" xfId="0" applyFont="1" applyFill="1" applyBorder="1" applyAlignment="1">
      <alignment horizontal="center" vertical="center" wrapText="1"/>
    </xf>
    <xf numFmtId="165" fontId="4" fillId="4" borderId="20" xfId="1" applyNumberFormat="1" applyFont="1" applyFill="1" applyBorder="1" applyAlignment="1">
      <alignment horizontal="center" vertical="center"/>
    </xf>
    <xf numFmtId="0" fontId="17" fillId="3" borderId="7" xfId="0" applyFont="1" applyFill="1" applyBorder="1" applyAlignment="1">
      <alignment horizontal="center" vertical="center" wrapText="1"/>
    </xf>
    <xf numFmtId="0" fontId="12" fillId="0" borderId="23" xfId="0" applyFont="1" applyBorder="1" applyAlignment="1">
      <alignment horizontal="justify" vertical="center" wrapText="1"/>
    </xf>
    <xf numFmtId="0" fontId="2" fillId="0" borderId="3" xfId="3" applyBorder="1" applyAlignment="1">
      <alignment vertical="center" wrapText="1"/>
    </xf>
    <xf numFmtId="9" fontId="12" fillId="0" borderId="3" xfId="0" applyNumberFormat="1" applyFont="1" applyBorder="1" applyAlignment="1">
      <alignment horizontal="center" vertical="center" wrapText="1"/>
    </xf>
    <xf numFmtId="0" fontId="12" fillId="0" borderId="13" xfId="0" applyFont="1" applyBorder="1" applyAlignment="1">
      <alignment horizontal="justify" vertical="center" wrapText="1"/>
    </xf>
    <xf numFmtId="0" fontId="12" fillId="0" borderId="10" xfId="0" applyFont="1" applyBorder="1" applyAlignment="1">
      <alignment horizontal="justify" vertical="center" wrapText="1"/>
    </xf>
    <xf numFmtId="9" fontId="12" fillId="0" borderId="25" xfId="0" applyNumberFormat="1" applyFont="1" applyBorder="1" applyAlignment="1">
      <alignment horizontal="center" vertical="center" wrapText="1"/>
    </xf>
    <xf numFmtId="9" fontId="12" fillId="0" borderId="26" xfId="0" applyNumberFormat="1" applyFont="1" applyBorder="1" applyAlignment="1">
      <alignment horizontal="center" vertical="center" wrapText="1"/>
    </xf>
    <xf numFmtId="0" fontId="10" fillId="6" borderId="1" xfId="0" applyFont="1" applyFill="1" applyBorder="1" applyAlignment="1">
      <alignment horizontal="center" vertical="center" wrapText="1"/>
    </xf>
    <xf numFmtId="0" fontId="10" fillId="6" borderId="0" xfId="0" applyFont="1" applyFill="1" applyAlignment="1">
      <alignment horizontal="center" vertical="center" wrapText="1"/>
    </xf>
    <xf numFmtId="3" fontId="14" fillId="0" borderId="10" xfId="0" applyNumberFormat="1" applyFont="1" applyBorder="1" applyAlignment="1">
      <alignment horizontal="center" vertical="center"/>
    </xf>
    <xf numFmtId="0" fontId="4" fillId="0" borderId="1" xfId="0" applyFont="1" applyBorder="1" applyAlignment="1">
      <alignment wrapText="1"/>
    </xf>
    <xf numFmtId="9" fontId="12" fillId="0" borderId="24" xfId="0" applyNumberFormat="1" applyFont="1" applyBorder="1" applyAlignment="1">
      <alignment horizontal="center" vertical="center" wrapText="1"/>
    </xf>
    <xf numFmtId="10" fontId="12" fillId="0" borderId="0" xfId="0" applyNumberFormat="1" applyFont="1" applyAlignment="1">
      <alignment horizontal="center" vertical="center" wrapText="1"/>
    </xf>
    <xf numFmtId="0" fontId="4" fillId="7" borderId="0" xfId="0" applyFont="1" applyFill="1" applyAlignment="1">
      <alignment horizontal="center" vertical="center" wrapText="1"/>
    </xf>
    <xf numFmtId="0" fontId="2" fillId="0" borderId="10" xfId="3" applyBorder="1" applyAlignment="1">
      <alignment vertical="center" wrapText="1"/>
    </xf>
    <xf numFmtId="10" fontId="14" fillId="0" borderId="10" xfId="0" applyNumberFormat="1" applyFont="1" applyBorder="1" applyAlignment="1">
      <alignment horizontal="center" vertical="center"/>
    </xf>
    <xf numFmtId="166" fontId="0" fillId="0" borderId="0" xfId="1" applyNumberFormat="1" applyFont="1"/>
    <xf numFmtId="0" fontId="27" fillId="0" borderId="0" xfId="0" applyFont="1" applyAlignment="1">
      <alignment horizontal="center" vertical="center" wrapText="1"/>
    </xf>
    <xf numFmtId="0" fontId="3" fillId="0" borderId="0" xfId="0" applyFont="1" applyAlignment="1">
      <alignment vertical="center" wrapText="1"/>
    </xf>
    <xf numFmtId="0" fontId="27" fillId="0" borderId="20" xfId="0" applyFont="1" applyBorder="1" applyAlignment="1">
      <alignment horizontal="center" vertical="center" wrapText="1"/>
    </xf>
    <xf numFmtId="0" fontId="30" fillId="0" borderId="20" xfId="0" applyFont="1" applyBorder="1" applyAlignment="1">
      <alignment horizontal="center" vertical="center" wrapText="1"/>
    </xf>
    <xf numFmtId="0" fontId="31" fillId="0" borderId="20" xfId="0" applyFont="1" applyBorder="1" applyAlignment="1">
      <alignment horizontal="center" vertical="center" wrapText="1"/>
    </xf>
    <xf numFmtId="166" fontId="32" fillId="0" borderId="20" xfId="1" applyNumberFormat="1" applyFont="1" applyBorder="1"/>
    <xf numFmtId="166" fontId="33" fillId="0" borderId="20" xfId="1" applyNumberFormat="1" applyFont="1" applyBorder="1"/>
    <xf numFmtId="166" fontId="34" fillId="0" borderId="20" xfId="1" applyNumberFormat="1" applyFont="1" applyBorder="1"/>
    <xf numFmtId="166" fontId="32" fillId="0" borderId="20" xfId="1" applyNumberFormat="1" applyFont="1" applyBorder="1" applyAlignment="1">
      <alignment horizontal="left"/>
    </xf>
    <xf numFmtId="166" fontId="33" fillId="0" borderId="20" xfId="1" applyNumberFormat="1" applyFont="1" applyBorder="1" applyAlignment="1">
      <alignment horizontal="left"/>
    </xf>
    <xf numFmtId="166" fontId="34" fillId="0" borderId="20" xfId="1" applyNumberFormat="1" applyFont="1" applyBorder="1" applyAlignment="1">
      <alignment horizontal="left"/>
    </xf>
    <xf numFmtId="9" fontId="0" fillId="0" borderId="0" xfId="2" applyFont="1"/>
    <xf numFmtId="164" fontId="0" fillId="0" borderId="0" xfId="2" applyNumberFormat="1" applyFont="1"/>
    <xf numFmtId="9" fontId="33" fillId="0" borderId="20" xfId="2" applyFont="1" applyBorder="1" applyAlignment="1">
      <alignment horizontal="right"/>
    </xf>
    <xf numFmtId="9" fontId="34" fillId="0" borderId="20" xfId="2" applyFont="1" applyBorder="1"/>
    <xf numFmtId="9" fontId="32" fillId="0" borderId="20" xfId="2" applyNumberFormat="1" applyFont="1" applyBorder="1"/>
    <xf numFmtId="9" fontId="0" fillId="12" borderId="0" xfId="2" applyFont="1" applyFill="1"/>
    <xf numFmtId="9" fontId="33" fillId="12" borderId="20" xfId="2" applyFont="1" applyFill="1" applyBorder="1" applyAlignment="1">
      <alignment horizontal="right"/>
    </xf>
    <xf numFmtId="9" fontId="34" fillId="12" borderId="31" xfId="2" applyFont="1" applyFill="1" applyBorder="1"/>
    <xf numFmtId="9" fontId="0" fillId="12" borderId="31" xfId="2" applyFont="1" applyFill="1" applyBorder="1" applyAlignment="1">
      <alignment horizontal="center"/>
    </xf>
    <xf numFmtId="9" fontId="34" fillId="12" borderId="0" xfId="2" applyFont="1" applyFill="1" applyBorder="1"/>
    <xf numFmtId="9" fontId="0" fillId="12" borderId="0" xfId="2" applyFont="1" applyFill="1" applyBorder="1" applyAlignment="1">
      <alignment horizontal="center"/>
    </xf>
    <xf numFmtId="9" fontId="0" fillId="12" borderId="0" xfId="2" applyFont="1" applyFill="1" applyBorder="1" applyAlignment="1"/>
    <xf numFmtId="9" fontId="34" fillId="0" borderId="20" xfId="2" applyNumberFormat="1" applyFont="1" applyBorder="1"/>
    <xf numFmtId="166" fontId="32" fillId="12" borderId="31" xfId="1" applyNumberFormat="1" applyFont="1" applyFill="1" applyBorder="1"/>
    <xf numFmtId="166" fontId="34" fillId="12" borderId="31" xfId="1" applyNumberFormat="1" applyFont="1" applyFill="1" applyBorder="1"/>
    <xf numFmtId="166" fontId="32" fillId="12" borderId="0" xfId="1" applyNumberFormat="1" applyFont="1" applyFill="1" applyBorder="1"/>
    <xf numFmtId="166" fontId="34" fillId="12" borderId="0" xfId="1" applyNumberFormat="1" applyFont="1" applyFill="1" applyBorder="1"/>
    <xf numFmtId="166" fontId="42" fillId="12" borderId="20" xfId="1" applyNumberFormat="1" applyFont="1" applyFill="1" applyBorder="1"/>
    <xf numFmtId="166" fontId="42" fillId="12" borderId="20" xfId="1" applyNumberFormat="1" applyFont="1" applyFill="1" applyBorder="1" applyAlignment="1">
      <alignment horizontal="center"/>
    </xf>
    <xf numFmtId="166" fontId="42" fillId="14" borderId="20" xfId="1" applyNumberFormat="1" applyFont="1" applyFill="1" applyBorder="1"/>
    <xf numFmtId="166" fontId="42" fillId="7" borderId="20" xfId="1" applyNumberFormat="1" applyFont="1" applyFill="1" applyBorder="1"/>
    <xf numFmtId="0" fontId="43" fillId="4" borderId="20" xfId="0" applyFont="1" applyFill="1" applyBorder="1" applyAlignment="1">
      <alignment horizontal="right" vertical="center"/>
    </xf>
    <xf numFmtId="166" fontId="43" fillId="4" borderId="20" xfId="0" applyNumberFormat="1" applyFont="1" applyFill="1" applyBorder="1" applyAlignment="1">
      <alignment horizontal="right" vertical="center"/>
    </xf>
    <xf numFmtId="166" fontId="32" fillId="12" borderId="32" xfId="1" applyNumberFormat="1" applyFont="1" applyFill="1" applyBorder="1"/>
    <xf numFmtId="166" fontId="34" fillId="12" borderId="18" xfId="1" applyNumberFormat="1" applyFont="1" applyFill="1" applyBorder="1"/>
    <xf numFmtId="166" fontId="42" fillId="9" borderId="20" xfId="1" applyNumberFormat="1" applyFont="1" applyFill="1" applyBorder="1"/>
    <xf numFmtId="166" fontId="42" fillId="8" borderId="20" xfId="1" applyNumberFormat="1" applyFont="1" applyFill="1" applyBorder="1"/>
    <xf numFmtId="166" fontId="0" fillId="12" borderId="0" xfId="1" applyNumberFormat="1" applyFont="1" applyFill="1"/>
    <xf numFmtId="166" fontId="42" fillId="12" borderId="0" xfId="1" applyNumberFormat="1" applyFont="1" applyFill="1" applyBorder="1"/>
    <xf numFmtId="0" fontId="3" fillId="0" borderId="0" xfId="0" applyFont="1" applyBorder="1" applyAlignment="1">
      <alignment vertical="center" wrapText="1"/>
    </xf>
    <xf numFmtId="0" fontId="27" fillId="0" borderId="0" xfId="0" applyFont="1" applyBorder="1" applyAlignment="1">
      <alignment horizontal="center" vertical="center" wrapText="1"/>
    </xf>
    <xf numFmtId="166" fontId="0" fillId="0" borderId="0" xfId="1" applyNumberFormat="1" applyFont="1" applyBorder="1"/>
    <xf numFmtId="0" fontId="0" fillId="0" borderId="0" xfId="0" applyBorder="1"/>
    <xf numFmtId="164" fontId="0" fillId="0" borderId="0" xfId="2" applyNumberFormat="1" applyFont="1" applyBorder="1"/>
    <xf numFmtId="9" fontId="0" fillId="0" borderId="0" xfId="2" applyFont="1" applyBorder="1"/>
    <xf numFmtId="166" fontId="0" fillId="12" borderId="0" xfId="1" applyNumberFormat="1" applyFont="1" applyFill="1" applyBorder="1"/>
    <xf numFmtId="166" fontId="43" fillId="12" borderId="0" xfId="0" applyNumberFormat="1" applyFont="1" applyFill="1" applyBorder="1" applyAlignment="1">
      <alignment horizontal="right" vertical="center"/>
    </xf>
    <xf numFmtId="9" fontId="42" fillId="12" borderId="20" xfId="2" applyFont="1" applyFill="1" applyBorder="1"/>
    <xf numFmtId="166" fontId="32" fillId="12" borderId="21" xfId="1" applyNumberFormat="1" applyFont="1" applyFill="1" applyBorder="1" applyAlignment="1">
      <alignment vertical="center"/>
    </xf>
    <xf numFmtId="166" fontId="32" fillId="12" borderId="29" xfId="1" applyNumberFormat="1" applyFont="1" applyFill="1" applyBorder="1" applyAlignment="1">
      <alignment vertical="center"/>
    </xf>
    <xf numFmtId="166" fontId="42" fillId="15" borderId="20" xfId="1" applyNumberFormat="1" applyFont="1" applyFill="1" applyBorder="1"/>
    <xf numFmtId="0" fontId="0" fillId="7" borderId="34" xfId="0" applyFont="1" applyFill="1" applyBorder="1" applyAlignment="1">
      <alignment vertical="center" wrapText="1"/>
    </xf>
    <xf numFmtId="0" fontId="0" fillId="7" borderId="34" xfId="0" applyFont="1" applyFill="1" applyBorder="1" applyAlignment="1">
      <alignment horizontal="left" vertical="center" wrapText="1"/>
    </xf>
    <xf numFmtId="0" fontId="0" fillId="0" borderId="34" xfId="0" applyFont="1" applyBorder="1" applyAlignment="1">
      <alignment horizontal="left" vertical="center" wrapText="1"/>
    </xf>
    <xf numFmtId="10" fontId="0" fillId="7" borderId="34" xfId="2" applyNumberFormat="1" applyFont="1" applyFill="1" applyBorder="1" applyAlignment="1">
      <alignment horizontal="left" vertical="center" wrapText="1"/>
    </xf>
    <xf numFmtId="0" fontId="0" fillId="0" borderId="34" xfId="0" applyFont="1" applyBorder="1" applyAlignment="1">
      <alignment horizontal="center" vertical="center" wrapText="1"/>
    </xf>
    <xf numFmtId="3" fontId="0" fillId="7" borderId="34" xfId="0" applyNumberFormat="1" applyFont="1" applyFill="1" applyBorder="1" applyAlignment="1">
      <alignment horizontal="left" vertical="center" wrapText="1"/>
    </xf>
    <xf numFmtId="0" fontId="46" fillId="7" borderId="34" xfId="0" applyFont="1" applyFill="1" applyBorder="1" applyAlignment="1">
      <alignment horizontal="left" vertical="center" wrapText="1"/>
    </xf>
    <xf numFmtId="0" fontId="0" fillId="0" borderId="0" xfId="0" applyFont="1" applyAlignment="1">
      <alignment vertical="center"/>
    </xf>
    <xf numFmtId="0" fontId="0" fillId="0" borderId="0" xfId="0" applyFont="1" applyAlignment="1">
      <alignment horizontal="left" vertical="center"/>
    </xf>
    <xf numFmtId="0" fontId="0" fillId="0" borderId="34" xfId="0" applyFont="1" applyBorder="1" applyAlignment="1">
      <alignment vertical="center"/>
    </xf>
    <xf numFmtId="10" fontId="4" fillId="0" borderId="0" xfId="0" applyNumberFormat="1" applyFont="1"/>
    <xf numFmtId="0" fontId="0" fillId="13" borderId="34" xfId="0" applyFont="1" applyFill="1" applyBorder="1" applyAlignment="1">
      <alignment horizontal="left" vertical="center" wrapText="1"/>
    </xf>
    <xf numFmtId="0" fontId="0" fillId="0" borderId="34" xfId="0" applyFont="1" applyBorder="1" applyAlignment="1">
      <alignment vertical="center" wrapText="1"/>
    </xf>
    <xf numFmtId="166" fontId="0" fillId="5" borderId="34" xfId="1" applyNumberFormat="1" applyFont="1" applyFill="1" applyBorder="1" applyAlignment="1">
      <alignment horizontal="left" vertical="center" wrapText="1"/>
    </xf>
    <xf numFmtId="0" fontId="4" fillId="4" borderId="20" xfId="0" applyFont="1" applyFill="1" applyBorder="1" applyAlignment="1">
      <alignment horizontal="center" vertical="center" wrapText="1"/>
    </xf>
    <xf numFmtId="164" fontId="4" fillId="0" borderId="0" xfId="2" applyNumberFormat="1" applyFont="1"/>
    <xf numFmtId="0" fontId="6" fillId="18" borderId="35" xfId="0" applyFont="1" applyFill="1" applyBorder="1" applyAlignment="1">
      <alignment horizontal="center" vertical="center" wrapText="1" readingOrder="1"/>
    </xf>
    <xf numFmtId="3" fontId="10" fillId="19" borderId="36" xfId="0" applyNumberFormat="1" applyFont="1" applyFill="1" applyBorder="1" applyAlignment="1">
      <alignment horizontal="center" vertical="center" wrapText="1" readingOrder="1"/>
    </xf>
    <xf numFmtId="0" fontId="10" fillId="19" borderId="36" xfId="0" applyFont="1" applyFill="1" applyBorder="1" applyAlignment="1">
      <alignment horizontal="center" vertical="center" wrapText="1" readingOrder="1"/>
    </xf>
    <xf numFmtId="10" fontId="47" fillId="19" borderId="36" xfId="0" applyNumberFormat="1" applyFont="1" applyFill="1" applyBorder="1" applyAlignment="1">
      <alignment horizontal="center" vertical="center" wrapText="1" readingOrder="1"/>
    </xf>
    <xf numFmtId="3" fontId="10" fillId="20" borderId="37" xfId="0" applyNumberFormat="1" applyFont="1" applyFill="1" applyBorder="1" applyAlignment="1">
      <alignment horizontal="center" vertical="center" wrapText="1" readingOrder="1"/>
    </xf>
    <xf numFmtId="0" fontId="10" fillId="20" borderId="37" xfId="0" applyFont="1" applyFill="1" applyBorder="1" applyAlignment="1">
      <alignment horizontal="center" vertical="center" wrapText="1" readingOrder="1"/>
    </xf>
    <xf numFmtId="10" fontId="47" fillId="20" borderId="37" xfId="0" applyNumberFormat="1" applyFont="1" applyFill="1" applyBorder="1" applyAlignment="1">
      <alignment horizontal="center" vertical="center" wrapText="1" readingOrder="1"/>
    </xf>
    <xf numFmtId="3" fontId="10" fillId="19" borderId="37" xfId="0" applyNumberFormat="1" applyFont="1" applyFill="1" applyBorder="1" applyAlignment="1">
      <alignment horizontal="center" vertical="center" wrapText="1" readingOrder="1"/>
    </xf>
    <xf numFmtId="0" fontId="10" fillId="19" borderId="37" xfId="0" applyFont="1" applyFill="1" applyBorder="1" applyAlignment="1">
      <alignment horizontal="center" vertical="center" wrapText="1" readingOrder="1"/>
    </xf>
    <xf numFmtId="10" fontId="47" fillId="19" borderId="37" xfId="0" applyNumberFormat="1" applyFont="1" applyFill="1" applyBorder="1" applyAlignment="1">
      <alignment horizontal="center" vertical="center" wrapText="1" readingOrder="1"/>
    </xf>
    <xf numFmtId="0" fontId="6" fillId="18" borderId="36" xfId="0" applyFont="1" applyFill="1" applyBorder="1" applyAlignment="1">
      <alignment horizontal="center" vertical="center" wrapText="1" readingOrder="1"/>
    </xf>
    <xf numFmtId="0" fontId="6" fillId="18" borderId="37" xfId="0" applyFont="1" applyFill="1" applyBorder="1" applyAlignment="1">
      <alignment horizontal="center" vertical="center" wrapText="1" readingOrder="1"/>
    </xf>
    <xf numFmtId="10" fontId="4" fillId="0" borderId="0" xfId="2" applyNumberFormat="1" applyFont="1"/>
    <xf numFmtId="164" fontId="6" fillId="2" borderId="15" xfId="0" applyNumberFormat="1" applyFont="1" applyFill="1" applyBorder="1" applyAlignment="1">
      <alignment horizontal="center" vertical="center" wrapText="1"/>
    </xf>
    <xf numFmtId="164" fontId="4" fillId="5" borderId="20" xfId="0" applyNumberFormat="1" applyFont="1" applyFill="1" applyBorder="1" applyAlignment="1">
      <alignment horizontal="center" vertical="center"/>
    </xf>
    <xf numFmtId="164" fontId="4" fillId="7" borderId="20" xfId="0" applyNumberFormat="1" applyFont="1" applyFill="1" applyBorder="1" applyAlignment="1">
      <alignment horizontal="center" vertical="center"/>
    </xf>
    <xf numFmtId="164" fontId="4" fillId="0" borderId="0" xfId="0" applyNumberFormat="1" applyFont="1" applyAlignment="1">
      <alignment horizontal="center" vertical="center"/>
    </xf>
    <xf numFmtId="164" fontId="4" fillId="0" borderId="0" xfId="0" applyNumberFormat="1" applyFont="1" applyAlignment="1">
      <alignment horizontal="left" vertical="center"/>
    </xf>
    <xf numFmtId="164" fontId="4" fillId="0" borderId="0" xfId="2" applyNumberFormat="1" applyFont="1" applyFill="1" applyBorder="1" applyAlignment="1">
      <alignment horizontal="center" vertical="center"/>
    </xf>
    <xf numFmtId="164" fontId="4" fillId="4" borderId="20" xfId="0" applyNumberFormat="1" applyFont="1" applyFill="1" applyBorder="1" applyAlignment="1">
      <alignment horizontal="center" vertical="center"/>
    </xf>
    <xf numFmtId="164" fontId="4" fillId="0" borderId="20" xfId="0" applyNumberFormat="1" applyFont="1" applyBorder="1" applyAlignment="1">
      <alignment horizontal="center" vertical="center"/>
    </xf>
    <xf numFmtId="164" fontId="4" fillId="4" borderId="0" xfId="0" applyNumberFormat="1" applyFont="1" applyFill="1" applyAlignment="1">
      <alignment horizontal="center" vertical="center"/>
    </xf>
    <xf numFmtId="164" fontId="12" fillId="0" borderId="10" xfId="0" applyNumberFormat="1" applyFont="1" applyBorder="1" applyAlignment="1">
      <alignment horizontal="center" vertical="center" wrapText="1"/>
    </xf>
    <xf numFmtId="164" fontId="4" fillId="5" borderId="20" xfId="2" applyNumberFormat="1" applyFont="1" applyFill="1" applyBorder="1" applyAlignment="1">
      <alignment horizontal="center" vertical="center" wrapText="1"/>
    </xf>
    <xf numFmtId="9" fontId="4" fillId="5" borderId="20" xfId="0" applyNumberFormat="1" applyFont="1" applyFill="1" applyBorder="1" applyAlignment="1">
      <alignment horizontal="center" vertical="center"/>
    </xf>
    <xf numFmtId="10" fontId="4" fillId="5" borderId="20" xfId="1" applyNumberFormat="1" applyFont="1" applyFill="1" applyBorder="1" applyAlignment="1">
      <alignment horizontal="center" vertical="center"/>
    </xf>
    <xf numFmtId="164" fontId="4" fillId="5" borderId="20" xfId="1" applyNumberFormat="1" applyFont="1" applyFill="1" applyBorder="1" applyAlignment="1">
      <alignment horizontal="center" vertical="center"/>
    </xf>
    <xf numFmtId="164" fontId="4" fillId="5" borderId="21" xfId="2" applyNumberFormat="1" applyFont="1" applyFill="1" applyBorder="1" applyAlignment="1">
      <alignment horizontal="center" vertical="center"/>
    </xf>
    <xf numFmtId="0" fontId="6" fillId="3" borderId="10"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49" fillId="2" borderId="17" xfId="0" applyFont="1" applyFill="1" applyBorder="1" applyAlignment="1">
      <alignment horizontal="center" vertical="center" wrapText="1"/>
    </xf>
    <xf numFmtId="0" fontId="6" fillId="0" borderId="11" xfId="0" applyFont="1" applyFill="1" applyBorder="1" applyAlignment="1">
      <alignment horizontal="center" vertical="center" wrapText="1"/>
    </xf>
    <xf numFmtId="164" fontId="6" fillId="0" borderId="11" xfId="0" applyNumberFormat="1" applyFont="1" applyFill="1" applyBorder="1" applyAlignment="1">
      <alignment horizontal="center" vertical="center" wrapText="1"/>
    </xf>
    <xf numFmtId="0" fontId="4" fillId="0" borderId="0" xfId="0" applyFont="1" applyFill="1"/>
    <xf numFmtId="0" fontId="45" fillId="0" borderId="0" xfId="0" applyFont="1" applyFill="1" applyBorder="1" applyAlignment="1">
      <alignment horizontal="center" vertical="center"/>
    </xf>
    <xf numFmtId="0" fontId="4" fillId="0" borderId="0" xfId="0" applyFont="1" applyAlignment="1">
      <alignment wrapText="1"/>
    </xf>
    <xf numFmtId="0" fontId="4" fillId="0" borderId="0" xfId="0" applyFont="1" applyAlignment="1">
      <alignment horizontal="left" wrapText="1"/>
    </xf>
    <xf numFmtId="0" fontId="7" fillId="0" borderId="9" xfId="0" applyFont="1" applyBorder="1" applyAlignment="1">
      <alignment horizontal="center" vertical="center" wrapText="1"/>
    </xf>
    <xf numFmtId="0" fontId="10" fillId="6" borderId="4" xfId="0" applyFont="1" applyFill="1" applyBorder="1" applyAlignment="1">
      <alignment horizontal="center" vertical="center" wrapText="1"/>
    </xf>
    <xf numFmtId="0" fontId="10" fillId="6" borderId="12" xfId="0" applyFont="1" applyFill="1" applyBorder="1" applyAlignment="1">
      <alignment horizontal="center" vertical="center" wrapText="1"/>
    </xf>
    <xf numFmtId="0" fontId="10" fillId="6" borderId="9" xfId="0" applyFont="1" applyFill="1" applyBorder="1" applyAlignment="1">
      <alignment horizontal="center" vertical="center" wrapText="1"/>
    </xf>
    <xf numFmtId="0" fontId="4" fillId="22" borderId="0" xfId="0" applyFont="1" applyFill="1"/>
    <xf numFmtId="0" fontId="49" fillId="22" borderId="0" xfId="0" applyFont="1" applyFill="1" applyBorder="1" applyAlignment="1">
      <alignment horizontal="center" vertical="center" wrapText="1" readingOrder="1"/>
    </xf>
    <xf numFmtId="0" fontId="49" fillId="22" borderId="0" xfId="0" applyFont="1" applyFill="1" applyAlignment="1">
      <alignment horizontal="center" vertical="center" wrapText="1" readingOrder="1"/>
    </xf>
    <xf numFmtId="0" fontId="4" fillId="22" borderId="0" xfId="0" applyFont="1" applyFill="1" applyAlignment="1">
      <alignment wrapText="1"/>
    </xf>
    <xf numFmtId="0" fontId="4" fillId="22" borderId="0" xfId="0" applyFont="1" applyFill="1" applyAlignment="1">
      <alignment horizontal="left" wrapText="1"/>
    </xf>
    <xf numFmtId="0" fontId="50" fillId="22" borderId="0" xfId="0" applyFont="1" applyFill="1" applyAlignment="1">
      <alignment vertical="center" wrapText="1"/>
    </xf>
    <xf numFmtId="0" fontId="0" fillId="22" borderId="0" xfId="0" applyFill="1" applyAlignment="1">
      <alignment wrapText="1"/>
    </xf>
    <xf numFmtId="0" fontId="51" fillId="22" borderId="0" xfId="0" applyFont="1" applyFill="1" applyAlignment="1">
      <alignment horizontal="justify" vertical="center" wrapText="1"/>
    </xf>
    <xf numFmtId="10" fontId="4" fillId="22" borderId="0" xfId="0" applyNumberFormat="1" applyFont="1" applyFill="1" applyAlignment="1">
      <alignment wrapText="1"/>
    </xf>
    <xf numFmtId="0" fontId="54" fillId="0" borderId="0" xfId="0" applyFont="1"/>
    <xf numFmtId="0" fontId="54" fillId="0" borderId="0" xfId="0" applyFont="1" applyAlignment="1">
      <alignment vertical="center"/>
    </xf>
    <xf numFmtId="0" fontId="55" fillId="22" borderId="0" xfId="0" applyFont="1" applyFill="1" applyBorder="1" applyAlignment="1">
      <alignment horizontal="center" vertical="center" wrapText="1"/>
    </xf>
    <xf numFmtId="0" fontId="4" fillId="0" borderId="19" xfId="0" applyFont="1" applyBorder="1" applyAlignment="1">
      <alignment wrapText="1"/>
    </xf>
    <xf numFmtId="0" fontId="4" fillId="0" borderId="20" xfId="0" applyFont="1" applyBorder="1" applyAlignment="1">
      <alignment wrapText="1"/>
    </xf>
    <xf numFmtId="0" fontId="4" fillId="0" borderId="21" xfId="0" applyFont="1" applyBorder="1" applyAlignment="1">
      <alignment wrapText="1"/>
    </xf>
    <xf numFmtId="0" fontId="4" fillId="7" borderId="21" xfId="0" applyFont="1" applyFill="1" applyBorder="1" applyAlignment="1">
      <alignment horizontal="center" vertical="center" wrapText="1"/>
    </xf>
    <xf numFmtId="0" fontId="55" fillId="0" borderId="34" xfId="0" applyFont="1" applyBorder="1" applyAlignment="1">
      <alignment horizontal="center" vertical="center" wrapText="1"/>
    </xf>
    <xf numFmtId="0" fontId="4" fillId="0" borderId="34" xfId="0" applyFont="1" applyBorder="1" applyAlignment="1">
      <alignment vertical="center" wrapText="1"/>
    </xf>
    <xf numFmtId="0" fontId="52" fillId="0" borderId="34" xfId="0" applyFont="1" applyBorder="1" applyAlignment="1">
      <alignment vertical="center" wrapText="1"/>
    </xf>
    <xf numFmtId="0" fontId="4" fillId="0" borderId="34" xfId="0" applyFont="1" applyBorder="1" applyAlignment="1">
      <alignment horizontal="left" vertical="center" wrapText="1"/>
    </xf>
    <xf numFmtId="0" fontId="53" fillId="0" borderId="34" xfId="0" applyFont="1" applyBorder="1" applyAlignment="1">
      <alignment vertical="center" wrapText="1"/>
    </xf>
    <xf numFmtId="0" fontId="0" fillId="0" borderId="34" xfId="0" applyBorder="1" applyAlignment="1">
      <alignment vertical="center" wrapText="1"/>
    </xf>
    <xf numFmtId="0" fontId="51" fillId="0" borderId="34" xfId="0" applyFont="1" applyBorder="1" applyAlignment="1">
      <alignment horizontal="justify" vertical="center" wrapText="1"/>
    </xf>
    <xf numFmtId="10" fontId="4" fillId="0" borderId="34" xfId="0" applyNumberFormat="1" applyFont="1" applyBorder="1" applyAlignment="1">
      <alignment vertical="center" wrapText="1"/>
    </xf>
    <xf numFmtId="0" fontId="4" fillId="22" borderId="0" xfId="0" applyFont="1" applyFill="1" applyAlignment="1">
      <alignment horizontal="center" vertical="center"/>
    </xf>
    <xf numFmtId="164" fontId="4" fillId="22" borderId="0" xfId="0" applyNumberFormat="1" applyFont="1" applyFill="1" applyAlignment="1">
      <alignment horizontal="center" vertical="center"/>
    </xf>
    <xf numFmtId="0" fontId="0" fillId="22" borderId="0" xfId="0" applyFont="1" applyFill="1" applyAlignment="1">
      <alignment vertical="center"/>
    </xf>
    <xf numFmtId="0" fontId="4" fillId="22" borderId="34" xfId="0" applyFont="1" applyFill="1" applyBorder="1" applyAlignment="1">
      <alignment vertical="center" wrapText="1"/>
    </xf>
    <xf numFmtId="0" fontId="49" fillId="21" borderId="34" xfId="0" applyFont="1" applyFill="1" applyBorder="1" applyAlignment="1">
      <alignment horizontal="center" vertical="center" wrapText="1" readingOrder="1"/>
    </xf>
    <xf numFmtId="0" fontId="45" fillId="17" borderId="0" xfId="0" applyFont="1" applyFill="1" applyBorder="1" applyAlignment="1">
      <alignment horizontal="center" vertical="center"/>
    </xf>
    <xf numFmtId="0" fontId="45" fillId="17" borderId="30" xfId="0" applyFont="1" applyFill="1" applyBorder="1" applyAlignment="1">
      <alignment horizontal="center" vertical="center"/>
    </xf>
    <xf numFmtId="0" fontId="3" fillId="0" borderId="0" xfId="0" applyFont="1" applyAlignment="1">
      <alignment horizontal="left" vertical="center" wrapText="1"/>
    </xf>
    <xf numFmtId="0" fontId="3" fillId="0" borderId="11" xfId="0" applyFont="1" applyBorder="1" applyAlignment="1">
      <alignment horizontal="lef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9" fillId="0" borderId="0" xfId="3" applyFont="1" applyAlignment="1">
      <alignment horizontal="left" vertical="center" wrapText="1"/>
    </xf>
    <xf numFmtId="0" fontId="9" fillId="0" borderId="0" xfId="3" applyFont="1" applyAlignment="1">
      <alignment horizontal="left" vertical="center"/>
    </xf>
    <xf numFmtId="0" fontId="6" fillId="3" borderId="9"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2" fillId="0" borderId="0" xfId="3" applyAlignment="1">
      <alignment horizontal="left" vertical="center"/>
    </xf>
    <xf numFmtId="0" fontId="17" fillId="3" borderId="7" xfId="0" applyFont="1" applyFill="1" applyBorder="1" applyAlignment="1">
      <alignment horizontal="center" vertical="center" wrapText="1"/>
    </xf>
    <xf numFmtId="0" fontId="17" fillId="3" borderId="8" xfId="0" applyFont="1" applyFill="1" applyBorder="1" applyAlignment="1">
      <alignment horizontal="center" vertical="center" wrapText="1"/>
    </xf>
    <xf numFmtId="0" fontId="17" fillId="3" borderId="13" xfId="0" applyFont="1" applyFill="1" applyBorder="1" applyAlignment="1">
      <alignment horizontal="center" vertical="center" wrapText="1"/>
    </xf>
    <xf numFmtId="0" fontId="17" fillId="3" borderId="4" xfId="0" applyFont="1" applyFill="1" applyBorder="1" applyAlignment="1">
      <alignment horizontal="center" vertical="center" wrapText="1"/>
    </xf>
    <xf numFmtId="0" fontId="17" fillId="3" borderId="6" xfId="0" applyFont="1" applyFill="1" applyBorder="1" applyAlignment="1">
      <alignment horizontal="center" vertical="center" wrapText="1"/>
    </xf>
    <xf numFmtId="0" fontId="2" fillId="0" borderId="0" xfId="3" applyAlignment="1">
      <alignment horizontal="left" vertical="center" wrapText="1"/>
    </xf>
    <xf numFmtId="0" fontId="17" fillId="3" borderId="9" xfId="0" applyFont="1" applyFill="1" applyBorder="1" applyAlignment="1">
      <alignment horizontal="center" vertical="center" wrapText="1"/>
    </xf>
    <xf numFmtId="0" fontId="17" fillId="3" borderId="10" xfId="0" applyFont="1" applyFill="1" applyBorder="1" applyAlignment="1">
      <alignment horizontal="center" vertical="center" wrapText="1"/>
    </xf>
    <xf numFmtId="0" fontId="20" fillId="0" borderId="4" xfId="0" applyFont="1" applyBorder="1" applyAlignment="1">
      <alignment horizontal="center" vertical="center" wrapText="1"/>
    </xf>
    <xf numFmtId="0" fontId="20" fillId="0" borderId="9" xfId="0" applyFont="1" applyBorder="1" applyAlignment="1">
      <alignment horizontal="center" vertical="center" wrapText="1"/>
    </xf>
    <xf numFmtId="0" fontId="12" fillId="0" borderId="7" xfId="0" applyFont="1" applyBorder="1" applyAlignment="1">
      <alignment horizontal="left" vertical="center" wrapText="1" indent="2"/>
    </xf>
    <xf numFmtId="0" fontId="12" fillId="0" borderId="13" xfId="0" applyFont="1" applyBorder="1" applyAlignment="1">
      <alignment horizontal="left" vertical="center" wrapText="1" indent="2"/>
    </xf>
    <xf numFmtId="0" fontId="12" fillId="0" borderId="7" xfId="0" applyFont="1" applyBorder="1" applyAlignment="1">
      <alignment vertical="center" wrapText="1"/>
    </xf>
    <xf numFmtId="0" fontId="12" fillId="0" borderId="13" xfId="0" applyFont="1" applyBorder="1" applyAlignment="1">
      <alignment vertical="center" wrapText="1"/>
    </xf>
    <xf numFmtId="9" fontId="12" fillId="0" borderId="7" xfId="0" applyNumberFormat="1" applyFont="1" applyBorder="1" applyAlignment="1">
      <alignment horizontal="center" vertical="center"/>
    </xf>
    <xf numFmtId="9" fontId="12" fillId="0" borderId="13" xfId="0" applyNumberFormat="1" applyFont="1" applyBorder="1" applyAlignment="1">
      <alignment horizontal="center" vertical="center"/>
    </xf>
    <xf numFmtId="0" fontId="12" fillId="0" borderId="7" xfId="0" applyFont="1" applyBorder="1" applyAlignment="1">
      <alignment horizontal="center" vertical="center"/>
    </xf>
    <xf numFmtId="0" fontId="12" fillId="0" borderId="13" xfId="0" applyFont="1" applyBorder="1" applyAlignment="1">
      <alignment horizontal="center" vertical="center"/>
    </xf>
    <xf numFmtId="0" fontId="12" fillId="0" borderId="7" xfId="0" applyFont="1" applyBorder="1" applyAlignment="1">
      <alignment horizontal="center" vertical="center" wrapText="1"/>
    </xf>
    <xf numFmtId="0" fontId="12" fillId="0" borderId="13" xfId="0" applyFont="1" applyBorder="1" applyAlignment="1">
      <alignment horizontal="center" vertical="center" wrapText="1"/>
    </xf>
    <xf numFmtId="0" fontId="14" fillId="6" borderId="7" xfId="0" applyFont="1" applyFill="1" applyBorder="1" applyAlignment="1">
      <alignment horizontal="center" vertical="center"/>
    </xf>
    <xf numFmtId="0" fontId="14" fillId="6" borderId="13" xfId="0" applyFont="1" applyFill="1" applyBorder="1" applyAlignment="1">
      <alignment horizontal="center" vertical="center"/>
    </xf>
    <xf numFmtId="0" fontId="14" fillId="6" borderId="7" xfId="0" applyFont="1" applyFill="1" applyBorder="1" applyAlignment="1">
      <alignment horizontal="center" vertical="center" wrapText="1"/>
    </xf>
    <xf numFmtId="0" fontId="14" fillId="6" borderId="13" xfId="0" applyFont="1" applyFill="1" applyBorder="1" applyAlignment="1">
      <alignment horizontal="center" vertical="center" wrapText="1"/>
    </xf>
    <xf numFmtId="0" fontId="25" fillId="3" borderId="8" xfId="0" applyFont="1" applyFill="1" applyBorder="1" applyAlignment="1">
      <alignment horizontal="center" vertical="center" wrapText="1"/>
    </xf>
    <xf numFmtId="0" fontId="25" fillId="3" borderId="13" xfId="0" applyFont="1" applyFill="1" applyBorder="1" applyAlignment="1">
      <alignment horizontal="center" vertical="center" wrapText="1"/>
    </xf>
    <xf numFmtId="0" fontId="25" fillId="3" borderId="9" xfId="0" applyFont="1" applyFill="1" applyBorder="1" applyAlignment="1">
      <alignment horizontal="center" vertical="center" wrapText="1"/>
    </xf>
    <xf numFmtId="0" fontId="25" fillId="3" borderId="10" xfId="0" applyFont="1" applyFill="1" applyBorder="1" applyAlignment="1">
      <alignment horizontal="center" vertical="center" wrapText="1"/>
    </xf>
    <xf numFmtId="0" fontId="25" fillId="3" borderId="7" xfId="0" applyFont="1" applyFill="1" applyBorder="1" applyAlignment="1">
      <alignment horizontal="center" vertical="center" wrapText="1"/>
    </xf>
    <xf numFmtId="0" fontId="25" fillId="3" borderId="4" xfId="0" applyFont="1" applyFill="1" applyBorder="1" applyAlignment="1">
      <alignment horizontal="center" vertical="center" wrapText="1"/>
    </xf>
    <xf numFmtId="0" fontId="25" fillId="3" borderId="6" xfId="0" applyFont="1" applyFill="1" applyBorder="1" applyAlignment="1">
      <alignment horizontal="center" vertical="center" wrapText="1"/>
    </xf>
    <xf numFmtId="0" fontId="7" fillId="0" borderId="4" xfId="0" applyFont="1" applyBorder="1" applyAlignment="1">
      <alignment horizontal="center" vertical="center" wrapText="1"/>
    </xf>
    <xf numFmtId="0" fontId="7" fillId="0" borderId="9" xfId="0" applyFont="1" applyBorder="1" applyAlignment="1">
      <alignment horizontal="center" vertical="center" wrapText="1"/>
    </xf>
    <xf numFmtId="0" fontId="10" fillId="6" borderId="4" xfId="0" applyFont="1" applyFill="1" applyBorder="1" applyAlignment="1">
      <alignment horizontal="center" vertical="center" wrapText="1"/>
    </xf>
    <xf numFmtId="0" fontId="10" fillId="6" borderId="12" xfId="0" applyFont="1" applyFill="1" applyBorder="1" applyAlignment="1">
      <alignment horizontal="center" vertical="center" wrapText="1"/>
    </xf>
    <xf numFmtId="0" fontId="2" fillId="0" borderId="7" xfId="3" applyBorder="1" applyAlignment="1">
      <alignment horizontal="center" vertical="center" wrapText="1"/>
    </xf>
    <xf numFmtId="0" fontId="2" fillId="0" borderId="13" xfId="3" applyBorder="1" applyAlignment="1">
      <alignment horizontal="center" vertical="center" wrapText="1"/>
    </xf>
    <xf numFmtId="0" fontId="10" fillId="6" borderId="9" xfId="0" applyFont="1" applyFill="1" applyBorder="1" applyAlignment="1">
      <alignment horizontal="center" vertical="center" wrapText="1"/>
    </xf>
    <xf numFmtId="0" fontId="14" fillId="0" borderId="7" xfId="0" applyFont="1" applyBorder="1" applyAlignment="1">
      <alignment horizontal="center" vertical="center" wrapText="1"/>
    </xf>
    <xf numFmtId="0" fontId="14" fillId="0" borderId="13" xfId="0" applyFont="1" applyBorder="1" applyAlignment="1">
      <alignment horizontal="center" vertical="center" wrapText="1"/>
    </xf>
    <xf numFmtId="0" fontId="0" fillId="7" borderId="34" xfId="0" applyFont="1" applyFill="1" applyBorder="1" applyAlignment="1">
      <alignment horizontal="left" vertical="center" wrapText="1"/>
    </xf>
    <xf numFmtId="0" fontId="0" fillId="0" borderId="21" xfId="0" applyBorder="1" applyAlignment="1">
      <alignment horizontal="left"/>
    </xf>
    <xf numFmtId="0" fontId="0" fillId="0" borderId="28" xfId="0" applyBorder="1" applyAlignment="1">
      <alignment horizontal="left"/>
    </xf>
    <xf numFmtId="0" fontId="0" fillId="0" borderId="29" xfId="0" applyBorder="1" applyAlignment="1">
      <alignment horizontal="left"/>
    </xf>
    <xf numFmtId="0" fontId="44" fillId="16" borderId="21" xfId="0" applyFont="1" applyFill="1" applyBorder="1" applyAlignment="1">
      <alignment horizontal="center" vertical="center"/>
    </xf>
    <xf numFmtId="0" fontId="44" fillId="16" borderId="28" xfId="0" applyFont="1" applyFill="1" applyBorder="1" applyAlignment="1">
      <alignment horizontal="center" vertical="center"/>
    </xf>
    <xf numFmtId="0" fontId="44" fillId="16" borderId="29" xfId="0" applyFont="1" applyFill="1" applyBorder="1" applyAlignment="1">
      <alignment horizontal="center" vertical="center"/>
    </xf>
    <xf numFmtId="0" fontId="35" fillId="12" borderId="20" xfId="0" applyFont="1" applyFill="1" applyBorder="1" applyAlignment="1">
      <alignment horizontal="center"/>
    </xf>
    <xf numFmtId="0" fontId="0" fillId="0" borderId="0" xfId="0" applyAlignment="1">
      <alignment horizontal="left" vertical="center" wrapText="1"/>
    </xf>
    <xf numFmtId="9" fontId="43" fillId="12" borderId="20" xfId="2" applyFont="1" applyFill="1" applyBorder="1" applyAlignment="1">
      <alignment horizontal="center" vertical="center"/>
    </xf>
    <xf numFmtId="9" fontId="32" fillId="0" borderId="20" xfId="2" applyNumberFormat="1" applyFont="1" applyBorder="1" applyAlignment="1">
      <alignment horizontal="center"/>
    </xf>
    <xf numFmtId="9" fontId="42" fillId="12" borderId="20" xfId="2" applyFont="1" applyFill="1" applyBorder="1" applyAlignment="1">
      <alignment horizontal="center"/>
    </xf>
    <xf numFmtId="0" fontId="27" fillId="0" borderId="31" xfId="0" applyFont="1" applyBorder="1" applyAlignment="1">
      <alignment horizontal="center" vertical="center" wrapText="1"/>
    </xf>
    <xf numFmtId="0" fontId="27" fillId="0" borderId="33" xfId="0" applyFont="1" applyBorder="1" applyAlignment="1">
      <alignment horizontal="center" vertical="center" wrapText="1"/>
    </xf>
    <xf numFmtId="0" fontId="27" fillId="0" borderId="0" xfId="0" applyFont="1" applyBorder="1" applyAlignment="1">
      <alignment horizontal="center" vertical="center" wrapText="1"/>
    </xf>
    <xf numFmtId="0" fontId="27" fillId="0" borderId="32" xfId="0" applyFont="1" applyBorder="1" applyAlignment="1">
      <alignment horizontal="center" vertical="center" wrapText="1"/>
    </xf>
    <xf numFmtId="166" fontId="42" fillId="13" borderId="21" xfId="1" applyNumberFormat="1" applyFont="1" applyFill="1" applyBorder="1" applyAlignment="1">
      <alignment horizontal="center"/>
    </xf>
    <xf numFmtId="166" fontId="42" fillId="13" borderId="28" xfId="1" applyNumberFormat="1" applyFont="1" applyFill="1" applyBorder="1" applyAlignment="1">
      <alignment horizontal="center"/>
    </xf>
    <xf numFmtId="166" fontId="42" fillId="13" borderId="29" xfId="1" applyNumberFormat="1" applyFont="1" applyFill="1" applyBorder="1" applyAlignment="1">
      <alignment horizontal="center"/>
    </xf>
    <xf numFmtId="9" fontId="0" fillId="11" borderId="21" xfId="2" applyFont="1" applyFill="1" applyBorder="1" applyAlignment="1">
      <alignment horizontal="center"/>
    </xf>
    <xf numFmtId="9" fontId="0" fillId="11" borderId="29" xfId="2" applyFont="1" applyFill="1" applyBorder="1" applyAlignment="1">
      <alignment horizontal="center"/>
    </xf>
    <xf numFmtId="9" fontId="0" fillId="11" borderId="20" xfId="2" applyFont="1" applyFill="1" applyBorder="1" applyAlignment="1">
      <alignment horizontal="center"/>
    </xf>
    <xf numFmtId="0" fontId="0" fillId="12" borderId="0" xfId="0" applyFill="1" applyBorder="1" applyAlignment="1">
      <alignment horizontal="center"/>
    </xf>
    <xf numFmtId="0" fontId="0" fillId="12" borderId="31" xfId="0" applyFill="1" applyBorder="1" applyAlignment="1">
      <alignment horizontal="center"/>
    </xf>
    <xf numFmtId="0" fontId="3" fillId="13" borderId="28" xfId="0" applyFont="1" applyFill="1" applyBorder="1" applyAlignment="1">
      <alignment horizontal="left" vertical="center" wrapText="1"/>
    </xf>
    <xf numFmtId="0" fontId="0" fillId="12" borderId="28" xfId="0" applyFill="1" applyBorder="1" applyAlignment="1">
      <alignment horizontal="center"/>
    </xf>
    <xf numFmtId="0" fontId="35" fillId="12" borderId="28" xfId="0" applyFont="1" applyFill="1" applyBorder="1" applyAlignment="1">
      <alignment horizontal="center"/>
    </xf>
    <xf numFmtId="0" fontId="0" fillId="12" borderId="30" xfId="0" applyFill="1" applyBorder="1" applyAlignment="1">
      <alignment horizontal="center"/>
    </xf>
    <xf numFmtId="166" fontId="42" fillId="13" borderId="20" xfId="1" applyNumberFormat="1" applyFont="1" applyFill="1" applyBorder="1" applyAlignment="1">
      <alignment horizontal="center"/>
    </xf>
    <xf numFmtId="0" fontId="3" fillId="13" borderId="20" xfId="0" applyFont="1" applyFill="1" applyBorder="1" applyAlignment="1">
      <alignment horizontal="left" vertical="center" wrapText="1"/>
    </xf>
    <xf numFmtId="0" fontId="3" fillId="13" borderId="21" xfId="0" applyFont="1" applyFill="1" applyBorder="1" applyAlignment="1">
      <alignment horizontal="left" vertical="center" wrapText="1"/>
    </xf>
    <xf numFmtId="0" fontId="3" fillId="13" borderId="29" xfId="0" applyFont="1" applyFill="1" applyBorder="1" applyAlignment="1">
      <alignment horizontal="left" vertical="center" wrapText="1"/>
    </xf>
    <xf numFmtId="9" fontId="39" fillId="0" borderId="20" xfId="2" applyFont="1" applyBorder="1" applyAlignment="1">
      <alignment horizontal="left" vertical="top" wrapText="1"/>
    </xf>
    <xf numFmtId="9" fontId="37" fillId="12" borderId="0" xfId="2" applyFont="1" applyFill="1" applyBorder="1" applyAlignment="1">
      <alignment horizontal="center"/>
    </xf>
    <xf numFmtId="9" fontId="39" fillId="0" borderId="19" xfId="2" applyFont="1" applyBorder="1" applyAlignment="1">
      <alignment horizontal="left" vertical="top" wrapText="1"/>
    </xf>
    <xf numFmtId="9" fontId="36" fillId="0" borderId="28" xfId="2" applyFont="1" applyBorder="1" applyAlignment="1">
      <alignment horizontal="center" vertical="top" wrapText="1"/>
    </xf>
    <xf numFmtId="9" fontId="0" fillId="0" borderId="30" xfId="2" applyFont="1" applyBorder="1" applyAlignment="1">
      <alignment horizontal="center"/>
    </xf>
    <xf numFmtId="0" fontId="39" fillId="12" borderId="27" xfId="0" applyFont="1" applyFill="1" applyBorder="1" applyAlignment="1">
      <alignment horizontal="left"/>
    </xf>
    <xf numFmtId="0" fontId="39" fillId="12" borderId="17" xfId="0" applyFont="1" applyFill="1" applyBorder="1" applyAlignment="1">
      <alignment horizontal="left"/>
    </xf>
    <xf numFmtId="164" fontId="0" fillId="11" borderId="20" xfId="2" applyNumberFormat="1" applyFont="1" applyFill="1" applyBorder="1" applyAlignment="1">
      <alignment horizontal="center"/>
    </xf>
    <xf numFmtId="0" fontId="3" fillId="0" borderId="30" xfId="0" applyFont="1" applyBorder="1" applyAlignment="1">
      <alignment horizontal="center" vertical="center" wrapText="1"/>
    </xf>
  </cellXfs>
  <cellStyles count="5">
    <cellStyle name="Hiperlink" xfId="3" builtinId="8"/>
    <cellStyle name="Normal" xfId="0" builtinId="0"/>
    <cellStyle name="Normal 2" xfId="4" xr:uid="{2229F946-1F98-48D7-8EB3-5F93D4D143CC}"/>
    <cellStyle name="Porcentagem" xfId="2" builtinId="5"/>
    <cellStyle name="Vírgula" xfId="1" builtinId="3"/>
  </cellStyles>
  <dxfs count="0"/>
  <tableStyles count="0" defaultTableStyle="TableStyleMedium2" defaultPivotStyle="PivotStyleLight16"/>
  <colors>
    <mruColors>
      <color rgb="FFC6591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 /><Relationship Id="rId3" Type="http://schemas.openxmlformats.org/officeDocument/2006/relationships/worksheet" Target="worksheets/sheet3.xml" /><Relationship Id="rId7" Type="http://schemas.openxmlformats.org/officeDocument/2006/relationships/sharedStrings" Target="sharedString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tyles" Target="styles.xml" /><Relationship Id="rId5" Type="http://schemas.openxmlformats.org/officeDocument/2006/relationships/theme" Target="theme/theme1.xml" /><Relationship Id="rId4" Type="http://schemas.openxmlformats.org/officeDocument/2006/relationships/worksheet" Target="worksheets/sheet4.xml" /></Relationships>
</file>

<file path=xl/drawings/drawing1.xml><?xml version="1.0" encoding="utf-8"?>
<xdr:wsDr xmlns:xdr="http://schemas.openxmlformats.org/drawingml/2006/spreadsheetDrawing" xmlns:a="http://schemas.openxmlformats.org/drawingml/2006/main">
  <xdr:twoCellAnchor>
    <xdr:from>
      <xdr:col>4</xdr:col>
      <xdr:colOff>552450</xdr:colOff>
      <xdr:row>141</xdr:row>
      <xdr:rowOff>104775</xdr:rowOff>
    </xdr:from>
    <xdr:to>
      <xdr:col>7</xdr:col>
      <xdr:colOff>838200</xdr:colOff>
      <xdr:row>141</xdr:row>
      <xdr:rowOff>104775</xdr:rowOff>
    </xdr:to>
    <xdr:cxnSp macro="">
      <xdr:nvCxnSpPr>
        <xdr:cNvPr id="5" name="Conector reto 4">
          <a:extLst>
            <a:ext uri="{FF2B5EF4-FFF2-40B4-BE49-F238E27FC236}">
              <a16:creationId xmlns:a16="http://schemas.microsoft.com/office/drawing/2014/main" id="{00000000-0008-0000-0100-000005000000}"/>
            </a:ext>
          </a:extLst>
        </xdr:cNvPr>
        <xdr:cNvCxnSpPr/>
      </xdr:nvCxnSpPr>
      <xdr:spPr>
        <a:xfrm>
          <a:off x="4295775" y="20097750"/>
          <a:ext cx="385762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542925</xdr:colOff>
      <xdr:row>139</xdr:row>
      <xdr:rowOff>38100</xdr:rowOff>
    </xdr:from>
    <xdr:to>
      <xdr:col>4</xdr:col>
      <xdr:colOff>542925</xdr:colOff>
      <xdr:row>141</xdr:row>
      <xdr:rowOff>95250</xdr:rowOff>
    </xdr:to>
    <xdr:cxnSp macro="">
      <xdr:nvCxnSpPr>
        <xdr:cNvPr id="7" name="Conector de seta reta 6">
          <a:extLst>
            <a:ext uri="{FF2B5EF4-FFF2-40B4-BE49-F238E27FC236}">
              <a16:creationId xmlns:a16="http://schemas.microsoft.com/office/drawing/2014/main" id="{00000000-0008-0000-0100-000007000000}"/>
            </a:ext>
          </a:extLst>
        </xdr:cNvPr>
        <xdr:cNvCxnSpPr/>
      </xdr:nvCxnSpPr>
      <xdr:spPr>
        <a:xfrm flipV="1">
          <a:off x="4286250" y="19650075"/>
          <a:ext cx="0" cy="4381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828675</xdr:colOff>
      <xdr:row>139</xdr:row>
      <xdr:rowOff>38100</xdr:rowOff>
    </xdr:from>
    <xdr:to>
      <xdr:col>7</xdr:col>
      <xdr:colOff>828675</xdr:colOff>
      <xdr:row>141</xdr:row>
      <xdr:rowOff>95250</xdr:rowOff>
    </xdr:to>
    <xdr:cxnSp macro="">
      <xdr:nvCxnSpPr>
        <xdr:cNvPr id="8" name="Conector de seta reta 7">
          <a:extLst>
            <a:ext uri="{FF2B5EF4-FFF2-40B4-BE49-F238E27FC236}">
              <a16:creationId xmlns:a16="http://schemas.microsoft.com/office/drawing/2014/main" id="{00000000-0008-0000-0100-000008000000}"/>
            </a:ext>
          </a:extLst>
        </xdr:cNvPr>
        <xdr:cNvCxnSpPr/>
      </xdr:nvCxnSpPr>
      <xdr:spPr>
        <a:xfrm flipV="1">
          <a:off x="8143875" y="19650075"/>
          <a:ext cx="0" cy="4381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800100</xdr:colOff>
      <xdr:row>143</xdr:row>
      <xdr:rowOff>85725</xdr:rowOff>
    </xdr:from>
    <xdr:to>
      <xdr:col>8</xdr:col>
      <xdr:colOff>762000</xdr:colOff>
      <xdr:row>143</xdr:row>
      <xdr:rowOff>104775</xdr:rowOff>
    </xdr:to>
    <xdr:cxnSp macro="">
      <xdr:nvCxnSpPr>
        <xdr:cNvPr id="9" name="Conector reto 8">
          <a:extLst>
            <a:ext uri="{FF2B5EF4-FFF2-40B4-BE49-F238E27FC236}">
              <a16:creationId xmlns:a16="http://schemas.microsoft.com/office/drawing/2014/main" id="{00000000-0008-0000-0100-000009000000}"/>
            </a:ext>
          </a:extLst>
        </xdr:cNvPr>
        <xdr:cNvCxnSpPr/>
      </xdr:nvCxnSpPr>
      <xdr:spPr>
        <a:xfrm>
          <a:off x="5676900" y="20402550"/>
          <a:ext cx="3914775" cy="19050"/>
        </a:xfrm>
        <a:prstGeom prst="line">
          <a:avLst/>
        </a:prstGeom>
        <a:ln>
          <a:solidFill>
            <a:schemeClr val="accent2">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800100</xdr:colOff>
      <xdr:row>139</xdr:row>
      <xdr:rowOff>38100</xdr:rowOff>
    </xdr:from>
    <xdr:to>
      <xdr:col>5</xdr:col>
      <xdr:colOff>809625</xdr:colOff>
      <xdr:row>143</xdr:row>
      <xdr:rowOff>76200</xdr:rowOff>
    </xdr:to>
    <xdr:cxnSp macro="">
      <xdr:nvCxnSpPr>
        <xdr:cNvPr id="10" name="Conector de seta reta 9">
          <a:extLst>
            <a:ext uri="{FF2B5EF4-FFF2-40B4-BE49-F238E27FC236}">
              <a16:creationId xmlns:a16="http://schemas.microsoft.com/office/drawing/2014/main" id="{00000000-0008-0000-0100-00000A000000}"/>
            </a:ext>
          </a:extLst>
        </xdr:cNvPr>
        <xdr:cNvCxnSpPr/>
      </xdr:nvCxnSpPr>
      <xdr:spPr>
        <a:xfrm flipH="1" flipV="1">
          <a:off x="5676900" y="19650075"/>
          <a:ext cx="9525" cy="742950"/>
        </a:xfrm>
        <a:prstGeom prst="straightConnector1">
          <a:avLst/>
        </a:prstGeom>
        <a:ln>
          <a:solidFill>
            <a:schemeClr val="accent2">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742950</xdr:colOff>
      <xdr:row>139</xdr:row>
      <xdr:rowOff>19050</xdr:rowOff>
    </xdr:from>
    <xdr:to>
      <xdr:col>8</xdr:col>
      <xdr:colOff>762000</xdr:colOff>
      <xdr:row>143</xdr:row>
      <xdr:rowOff>104775</xdr:rowOff>
    </xdr:to>
    <xdr:cxnSp macro="">
      <xdr:nvCxnSpPr>
        <xdr:cNvPr id="11" name="Conector de seta reta 10">
          <a:extLst>
            <a:ext uri="{FF2B5EF4-FFF2-40B4-BE49-F238E27FC236}">
              <a16:creationId xmlns:a16="http://schemas.microsoft.com/office/drawing/2014/main" id="{00000000-0008-0000-0100-00000B000000}"/>
            </a:ext>
          </a:extLst>
        </xdr:cNvPr>
        <xdr:cNvCxnSpPr/>
      </xdr:nvCxnSpPr>
      <xdr:spPr>
        <a:xfrm flipH="1" flipV="1">
          <a:off x="9572625" y="19631025"/>
          <a:ext cx="19050" cy="790575"/>
        </a:xfrm>
        <a:prstGeom prst="straightConnector1">
          <a:avLst/>
        </a:prstGeom>
        <a:ln>
          <a:solidFill>
            <a:schemeClr val="accent2">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628650</xdr:colOff>
      <xdr:row>145</xdr:row>
      <xdr:rowOff>76200</xdr:rowOff>
    </xdr:from>
    <xdr:to>
      <xdr:col>9</xdr:col>
      <xdr:colOff>819150</xdr:colOff>
      <xdr:row>145</xdr:row>
      <xdr:rowOff>76200</xdr:rowOff>
    </xdr:to>
    <xdr:cxnSp macro="">
      <xdr:nvCxnSpPr>
        <xdr:cNvPr id="16" name="Conector reto 15">
          <a:extLst>
            <a:ext uri="{FF2B5EF4-FFF2-40B4-BE49-F238E27FC236}">
              <a16:creationId xmlns:a16="http://schemas.microsoft.com/office/drawing/2014/main" id="{00000000-0008-0000-0100-000010000000}"/>
            </a:ext>
          </a:extLst>
        </xdr:cNvPr>
        <xdr:cNvCxnSpPr/>
      </xdr:nvCxnSpPr>
      <xdr:spPr>
        <a:xfrm>
          <a:off x="6724650" y="20850225"/>
          <a:ext cx="4286250" cy="0"/>
        </a:xfrm>
        <a:prstGeom prst="line">
          <a:avLst/>
        </a:prstGeom>
        <a:ln>
          <a:solidFill>
            <a:schemeClr val="accent6">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609601</xdr:colOff>
      <xdr:row>139</xdr:row>
      <xdr:rowOff>19051</xdr:rowOff>
    </xdr:from>
    <xdr:to>
      <xdr:col>6</xdr:col>
      <xdr:colOff>619125</xdr:colOff>
      <xdr:row>145</xdr:row>
      <xdr:rowOff>66675</xdr:rowOff>
    </xdr:to>
    <xdr:cxnSp macro="">
      <xdr:nvCxnSpPr>
        <xdr:cNvPr id="19" name="Conector de seta reta 18">
          <a:extLst>
            <a:ext uri="{FF2B5EF4-FFF2-40B4-BE49-F238E27FC236}">
              <a16:creationId xmlns:a16="http://schemas.microsoft.com/office/drawing/2014/main" id="{00000000-0008-0000-0100-000013000000}"/>
            </a:ext>
          </a:extLst>
        </xdr:cNvPr>
        <xdr:cNvCxnSpPr/>
      </xdr:nvCxnSpPr>
      <xdr:spPr>
        <a:xfrm flipH="1" flipV="1">
          <a:off x="6705601" y="19631026"/>
          <a:ext cx="9524" cy="1209674"/>
        </a:xfrm>
        <a:prstGeom prst="straightConnector1">
          <a:avLst/>
        </a:prstGeom>
        <a:ln>
          <a:solidFill>
            <a:schemeClr val="accent6">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800101</xdr:colOff>
      <xdr:row>139</xdr:row>
      <xdr:rowOff>28576</xdr:rowOff>
    </xdr:from>
    <xdr:to>
      <xdr:col>9</xdr:col>
      <xdr:colOff>809625</xdr:colOff>
      <xdr:row>145</xdr:row>
      <xdr:rowOff>76200</xdr:rowOff>
    </xdr:to>
    <xdr:cxnSp macro="">
      <xdr:nvCxnSpPr>
        <xdr:cNvPr id="22" name="Conector de seta reta 21">
          <a:extLst>
            <a:ext uri="{FF2B5EF4-FFF2-40B4-BE49-F238E27FC236}">
              <a16:creationId xmlns:a16="http://schemas.microsoft.com/office/drawing/2014/main" id="{00000000-0008-0000-0100-000016000000}"/>
            </a:ext>
          </a:extLst>
        </xdr:cNvPr>
        <xdr:cNvCxnSpPr/>
      </xdr:nvCxnSpPr>
      <xdr:spPr>
        <a:xfrm flipH="1" flipV="1">
          <a:off x="10991851" y="19640551"/>
          <a:ext cx="9524" cy="1209674"/>
        </a:xfrm>
        <a:prstGeom prst="straightConnector1">
          <a:avLst/>
        </a:prstGeom>
        <a:ln>
          <a:solidFill>
            <a:schemeClr val="accent6">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 /><Relationship Id="rId2" Type="http://schemas.openxmlformats.org/officeDocument/2006/relationships/drawing" Target="../drawings/drawing1.xml" /><Relationship Id="rId1" Type="http://schemas.openxmlformats.org/officeDocument/2006/relationships/printerSettings" Target="../printerSettings/printerSettings2.bin" /><Relationship Id="rId4" Type="http://schemas.openxmlformats.org/officeDocument/2006/relationships/comments" Target="../comments1.xml" /></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30CB11-4234-4657-A7AD-017DB136A83C}">
  <dimension ref="A1"/>
  <sheetViews>
    <sheetView workbookViewId="0"/>
  </sheetViews>
  <sheetFormatPr defaultRowHeight="15" x14ac:dyDescent="0.2"/>
  <sheetData/>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335"/>
  <sheetViews>
    <sheetView tabSelected="1" zoomScale="70" zoomScaleNormal="70" workbookViewId="0">
      <pane xSplit="2" ySplit="5" topLeftCell="S6" activePane="bottomRight" state="frozen"/>
      <selection pane="bottomLeft" activeCell="A6" sqref="A6"/>
      <selection pane="topRight" activeCell="C1" sqref="C1"/>
      <selection pane="bottomRight" activeCell="Y1" sqref="Y1"/>
    </sheetView>
  </sheetViews>
  <sheetFormatPr defaultColWidth="8.7421875" defaultRowHeight="15" x14ac:dyDescent="0.2"/>
  <cols>
    <col min="1" max="1" width="42.23828125" style="1" customWidth="1"/>
    <col min="2" max="2" width="20.17578125" style="1" customWidth="1"/>
    <col min="3" max="3" width="10.76171875" style="1" customWidth="1"/>
    <col min="4" max="4" width="12.23828125" style="1" customWidth="1"/>
    <col min="5" max="5" width="10.4921875" style="1" customWidth="1"/>
    <col min="6" max="6" width="11.703125" style="1" customWidth="1"/>
    <col min="7" max="7" width="10.4921875" style="1" customWidth="1"/>
    <col min="8" max="8" width="12.5078125" style="1" customWidth="1"/>
    <col min="9" max="9" width="10.4921875" style="1" customWidth="1"/>
    <col min="10" max="10" width="12.5078125" style="1" customWidth="1"/>
    <col min="11" max="11" width="11.56640625" style="45" customWidth="1"/>
    <col min="12" max="12" width="10.22265625" style="251" customWidth="1"/>
    <col min="13" max="13" width="15.19921875" style="45" customWidth="1"/>
    <col min="14" max="14" width="13.44921875" style="45" customWidth="1"/>
    <col min="15" max="15" width="13.5859375" style="271" customWidth="1"/>
    <col min="16" max="16" width="15.73828125" style="271" customWidth="1"/>
    <col min="17" max="17" width="2.41796875" style="1" customWidth="1"/>
    <col min="18" max="18" width="44.79296875" style="226" customWidth="1"/>
    <col min="19" max="19" width="5.6484375" style="1" customWidth="1"/>
    <col min="20" max="20" width="8.7421875" style="1"/>
    <col min="21" max="21" width="7.93359375" style="280" customWidth="1"/>
    <col min="22" max="22" width="8.7421875" style="1"/>
    <col min="23" max="23" width="74.5234375" style="294" customWidth="1"/>
    <col min="24" max="16384" width="8.7421875" style="1"/>
  </cols>
  <sheetData>
    <row r="1" spans="1:23" s="286" customFormat="1" ht="32.1" customHeight="1" thickBot="1" x14ac:dyDescent="0.3">
      <c r="A1" s="308" t="s">
        <v>655</v>
      </c>
      <c r="B1" s="308"/>
      <c r="C1" s="308"/>
      <c r="D1" s="308"/>
      <c r="E1" s="308"/>
      <c r="F1" s="308"/>
      <c r="G1" s="308"/>
      <c r="H1" s="308"/>
      <c r="I1" s="308"/>
      <c r="J1" s="308"/>
      <c r="K1" s="308"/>
      <c r="L1" s="308"/>
      <c r="M1" s="308"/>
      <c r="N1" s="308"/>
      <c r="O1" s="308"/>
      <c r="P1" s="308"/>
      <c r="R1" s="287"/>
      <c r="U1" s="288"/>
      <c r="W1" s="293" t="s">
        <v>656</v>
      </c>
    </row>
    <row r="2" spans="1:23" ht="41.45" customHeight="1" thickBot="1" x14ac:dyDescent="0.25">
      <c r="A2" s="310" t="s">
        <v>2</v>
      </c>
      <c r="B2" s="311"/>
      <c r="C2" s="311"/>
      <c r="D2" s="311"/>
      <c r="E2" s="311"/>
      <c r="F2" s="311"/>
      <c r="G2" s="311"/>
      <c r="H2" s="311"/>
      <c r="I2" s="311"/>
      <c r="J2" s="312"/>
      <c r="K2" s="313" t="s">
        <v>3</v>
      </c>
      <c r="L2" s="314"/>
      <c r="M2" s="314"/>
      <c r="N2" s="314"/>
      <c r="O2" s="314"/>
      <c r="P2" s="314"/>
      <c r="R2" s="266" t="s">
        <v>654</v>
      </c>
      <c r="U2" s="278"/>
      <c r="W2" s="305" t="s">
        <v>679</v>
      </c>
    </row>
    <row r="3" spans="1:23" ht="27.6" customHeight="1" thickBot="1" x14ac:dyDescent="0.25">
      <c r="A3" s="315" t="s">
        <v>4</v>
      </c>
      <c r="B3" s="264" t="s">
        <v>5</v>
      </c>
      <c r="C3" s="318" t="s">
        <v>6</v>
      </c>
      <c r="D3" s="319"/>
      <c r="E3" s="318" t="s">
        <v>6</v>
      </c>
      <c r="F3" s="319"/>
      <c r="G3" s="318" t="s">
        <v>6</v>
      </c>
      <c r="H3" s="319"/>
      <c r="I3" s="318" t="s">
        <v>6</v>
      </c>
      <c r="J3" s="320"/>
      <c r="K3" s="321" t="s">
        <v>7</v>
      </c>
      <c r="L3" s="322"/>
      <c r="M3" s="321" t="s">
        <v>8</v>
      </c>
      <c r="N3" s="323"/>
      <c r="O3" s="324" t="s">
        <v>9</v>
      </c>
      <c r="P3" s="327" t="s">
        <v>10</v>
      </c>
      <c r="R3" s="306" t="s">
        <v>607</v>
      </c>
      <c r="U3" s="279"/>
      <c r="W3" s="305"/>
    </row>
    <row r="4" spans="1:23" ht="31.5" customHeight="1" thickBot="1" x14ac:dyDescent="0.25">
      <c r="A4" s="316"/>
      <c r="B4" s="316" t="s">
        <v>11</v>
      </c>
      <c r="C4" s="331" t="s">
        <v>12</v>
      </c>
      <c r="D4" s="332"/>
      <c r="E4" s="331" t="s">
        <v>13</v>
      </c>
      <c r="F4" s="332"/>
      <c r="G4" s="331" t="s">
        <v>14</v>
      </c>
      <c r="H4" s="332"/>
      <c r="I4" s="331" t="s">
        <v>15</v>
      </c>
      <c r="J4" s="333"/>
      <c r="K4" s="321" t="s">
        <v>16</v>
      </c>
      <c r="L4" s="322"/>
      <c r="M4" s="321" t="s">
        <v>17</v>
      </c>
      <c r="N4" s="322"/>
      <c r="O4" s="325"/>
      <c r="P4" s="328"/>
      <c r="R4" s="306"/>
      <c r="U4" s="279"/>
      <c r="W4" s="305"/>
    </row>
    <row r="5" spans="1:23" ht="32.1" customHeight="1" thickBot="1" x14ac:dyDescent="0.25">
      <c r="A5" s="317"/>
      <c r="B5" s="317"/>
      <c r="C5" s="263" t="s">
        <v>18</v>
      </c>
      <c r="D5" s="263" t="s">
        <v>19</v>
      </c>
      <c r="E5" s="263" t="s">
        <v>18</v>
      </c>
      <c r="F5" s="263" t="s">
        <v>19</v>
      </c>
      <c r="G5" s="263" t="s">
        <v>18</v>
      </c>
      <c r="H5" s="263" t="s">
        <v>19</v>
      </c>
      <c r="I5" s="263" t="s">
        <v>18</v>
      </c>
      <c r="J5" s="265" t="s">
        <v>19</v>
      </c>
      <c r="K5" s="5" t="s">
        <v>20</v>
      </c>
      <c r="L5" s="248" t="s">
        <v>21</v>
      </c>
      <c r="M5" s="6" t="s">
        <v>22</v>
      </c>
      <c r="N5" s="7" t="s">
        <v>23</v>
      </c>
      <c r="O5" s="326"/>
      <c r="P5" s="326"/>
      <c r="R5" s="307"/>
      <c r="U5" s="279"/>
      <c r="W5" s="305"/>
    </row>
    <row r="6" spans="1:23" s="269" customFormat="1" ht="51" customHeight="1" thickBot="1" x14ac:dyDescent="0.25">
      <c r="A6" s="267"/>
      <c r="B6" s="267"/>
      <c r="C6" s="267"/>
      <c r="D6" s="267"/>
      <c r="E6" s="267"/>
      <c r="F6" s="267"/>
      <c r="G6" s="267"/>
      <c r="H6" s="267"/>
      <c r="I6" s="267"/>
      <c r="J6" s="267"/>
      <c r="K6" s="267"/>
      <c r="L6" s="268"/>
      <c r="M6" s="267"/>
      <c r="N6" s="267"/>
      <c r="O6" s="267"/>
      <c r="P6" s="267"/>
      <c r="R6" s="270"/>
      <c r="U6" s="280"/>
      <c r="W6" s="294"/>
    </row>
    <row r="7" spans="1:23" ht="50.45" customHeight="1" thickBot="1" x14ac:dyDescent="0.25">
      <c r="A7" s="309" t="s">
        <v>1</v>
      </c>
      <c r="B7" s="309"/>
      <c r="C7" s="309"/>
      <c r="D7" s="309"/>
      <c r="E7" s="309"/>
      <c r="F7" s="309"/>
      <c r="G7" s="309"/>
      <c r="H7" s="309"/>
      <c r="I7" s="309"/>
      <c r="J7" s="309"/>
      <c r="K7" s="309"/>
      <c r="L7" s="309"/>
      <c r="M7" s="309"/>
      <c r="N7" s="309"/>
      <c r="O7" s="309"/>
      <c r="P7" s="309"/>
    </row>
    <row r="8" spans="1:23" ht="24" customHeight="1" thickBot="1" x14ac:dyDescent="0.25">
      <c r="A8" s="310" t="s">
        <v>2</v>
      </c>
      <c r="B8" s="311"/>
      <c r="C8" s="311"/>
      <c r="D8" s="311"/>
      <c r="E8" s="311"/>
      <c r="F8" s="311"/>
      <c r="G8" s="311"/>
      <c r="H8" s="311"/>
      <c r="I8" s="311"/>
      <c r="J8" s="312"/>
      <c r="K8" s="313" t="s">
        <v>3</v>
      </c>
      <c r="L8" s="314"/>
      <c r="M8" s="314"/>
      <c r="N8" s="314"/>
      <c r="O8" s="314"/>
      <c r="P8" s="314"/>
      <c r="R8" s="266" t="s">
        <v>654</v>
      </c>
      <c r="U8" s="278"/>
      <c r="W8" s="305" t="s">
        <v>679</v>
      </c>
    </row>
    <row r="9" spans="1:23" ht="41.25" customHeight="1" thickBot="1" x14ac:dyDescent="0.25">
      <c r="A9" s="315" t="s">
        <v>4</v>
      </c>
      <c r="B9" s="2" t="s">
        <v>5</v>
      </c>
      <c r="C9" s="318" t="s">
        <v>6</v>
      </c>
      <c r="D9" s="319"/>
      <c r="E9" s="318" t="s">
        <v>6</v>
      </c>
      <c r="F9" s="319"/>
      <c r="G9" s="318" t="s">
        <v>6</v>
      </c>
      <c r="H9" s="319"/>
      <c r="I9" s="318" t="s">
        <v>6</v>
      </c>
      <c r="J9" s="320"/>
      <c r="K9" s="321" t="s">
        <v>7</v>
      </c>
      <c r="L9" s="322"/>
      <c r="M9" s="321" t="s">
        <v>8</v>
      </c>
      <c r="N9" s="323"/>
      <c r="O9" s="324" t="s">
        <v>9</v>
      </c>
      <c r="P9" s="327" t="s">
        <v>10</v>
      </c>
      <c r="R9" s="306" t="s">
        <v>607</v>
      </c>
      <c r="U9" s="279"/>
      <c r="W9" s="305"/>
    </row>
    <row r="10" spans="1:23" ht="41.25" customHeight="1" thickBot="1" x14ac:dyDescent="0.25">
      <c r="A10" s="316"/>
      <c r="B10" s="316" t="s">
        <v>11</v>
      </c>
      <c r="C10" s="331" t="s">
        <v>12</v>
      </c>
      <c r="D10" s="332"/>
      <c r="E10" s="331" t="s">
        <v>13</v>
      </c>
      <c r="F10" s="332"/>
      <c r="G10" s="331" t="s">
        <v>14</v>
      </c>
      <c r="H10" s="332"/>
      <c r="I10" s="331" t="s">
        <v>15</v>
      </c>
      <c r="J10" s="333"/>
      <c r="K10" s="321" t="s">
        <v>16</v>
      </c>
      <c r="L10" s="322"/>
      <c r="M10" s="321" t="s">
        <v>17</v>
      </c>
      <c r="N10" s="322"/>
      <c r="O10" s="325"/>
      <c r="P10" s="328"/>
      <c r="R10" s="306"/>
      <c r="U10" s="279"/>
      <c r="W10" s="305"/>
    </row>
    <row r="11" spans="1:23" ht="58.5" customHeight="1" thickBot="1" x14ac:dyDescent="0.25">
      <c r="A11" s="317"/>
      <c r="B11" s="317"/>
      <c r="C11" s="3" t="s">
        <v>18</v>
      </c>
      <c r="D11" s="3" t="s">
        <v>19</v>
      </c>
      <c r="E11" s="3" t="s">
        <v>18</v>
      </c>
      <c r="F11" s="3" t="s">
        <v>19</v>
      </c>
      <c r="G11" s="3" t="s">
        <v>18</v>
      </c>
      <c r="H11" s="3" t="s">
        <v>19</v>
      </c>
      <c r="I11" s="3" t="s">
        <v>18</v>
      </c>
      <c r="J11" s="4" t="s">
        <v>19</v>
      </c>
      <c r="K11" s="5" t="s">
        <v>20</v>
      </c>
      <c r="L11" s="248" t="s">
        <v>21</v>
      </c>
      <c r="M11" s="6" t="s">
        <v>22</v>
      </c>
      <c r="N11" s="7" t="s">
        <v>23</v>
      </c>
      <c r="O11" s="326"/>
      <c r="P11" s="326"/>
      <c r="R11" s="307"/>
      <c r="U11" s="279"/>
      <c r="W11" s="305"/>
    </row>
    <row r="12" spans="1:23" ht="77.099999999999994" customHeight="1" thickBot="1" x14ac:dyDescent="0.25">
      <c r="A12" s="8" t="s">
        <v>24</v>
      </c>
      <c r="B12" s="9" t="s">
        <v>25</v>
      </c>
      <c r="C12" s="10">
        <v>43465</v>
      </c>
      <c r="D12" s="10">
        <v>40097</v>
      </c>
      <c r="E12" s="10">
        <v>42955</v>
      </c>
      <c r="F12" s="10">
        <v>42119</v>
      </c>
      <c r="G12" s="10">
        <v>44042</v>
      </c>
      <c r="H12" s="11" t="s">
        <v>26</v>
      </c>
      <c r="I12" s="10">
        <v>46000</v>
      </c>
      <c r="J12" s="12">
        <v>44472</v>
      </c>
      <c r="K12" s="13">
        <f>J12-46000</f>
        <v>-1528</v>
      </c>
      <c r="L12" s="14">
        <f>K12/46000</f>
        <v>-3.3217391304347824E-2</v>
      </c>
      <c r="M12" s="15" t="s">
        <v>27</v>
      </c>
      <c r="N12" s="16">
        <f>J12/I12-1</f>
        <v>-3.3217391304347865E-2</v>
      </c>
      <c r="O12" s="289"/>
      <c r="P12" s="276" t="s">
        <v>28</v>
      </c>
      <c r="R12" s="228"/>
      <c r="W12" s="294" t="s">
        <v>657</v>
      </c>
    </row>
    <row r="13" spans="1:23" ht="50.45" customHeight="1" thickBot="1" x14ac:dyDescent="0.25">
      <c r="A13" s="8" t="s">
        <v>29</v>
      </c>
      <c r="B13" s="17" t="s">
        <v>30</v>
      </c>
      <c r="C13" s="10">
        <v>5495</v>
      </c>
      <c r="D13" s="10">
        <v>4406</v>
      </c>
      <c r="E13" s="10">
        <v>5331</v>
      </c>
      <c r="F13" s="10">
        <v>4886</v>
      </c>
      <c r="G13" s="10">
        <v>5500</v>
      </c>
      <c r="H13" s="10">
        <v>5517</v>
      </c>
      <c r="I13" s="10">
        <v>6500</v>
      </c>
      <c r="J13" s="12">
        <v>5487</v>
      </c>
      <c r="K13" s="18">
        <f>J13-6500</f>
        <v>-1013</v>
      </c>
      <c r="L13" s="39">
        <f>K13/6500</f>
        <v>-0.15584615384615386</v>
      </c>
      <c r="M13" s="20" t="s">
        <v>31</v>
      </c>
      <c r="N13" s="16">
        <f>J13/I13-1</f>
        <v>-0.15584615384615386</v>
      </c>
      <c r="O13" s="290"/>
      <c r="P13" s="276" t="s">
        <v>28</v>
      </c>
      <c r="R13" s="228"/>
      <c r="W13" s="294" t="s">
        <v>658</v>
      </c>
    </row>
    <row r="14" spans="1:23" ht="50.45" customHeight="1" thickBot="1" x14ac:dyDescent="0.25">
      <c r="A14" s="8" t="s">
        <v>32</v>
      </c>
      <c r="B14" s="17" t="s">
        <v>33</v>
      </c>
      <c r="C14" s="10">
        <v>26205</v>
      </c>
      <c r="D14" s="10">
        <v>24383</v>
      </c>
      <c r="E14" s="10">
        <v>26567</v>
      </c>
      <c r="F14" s="10">
        <v>25890</v>
      </c>
      <c r="G14" s="10">
        <v>27000</v>
      </c>
      <c r="H14" s="10">
        <v>26712</v>
      </c>
      <c r="I14" s="10">
        <v>27500</v>
      </c>
      <c r="J14" s="12">
        <v>27596</v>
      </c>
      <c r="K14" s="18">
        <f>J14-29000</f>
        <v>-1404</v>
      </c>
      <c r="L14" s="39">
        <f>K14/29000</f>
        <v>-4.8413793103448274E-2</v>
      </c>
      <c r="M14" s="21" t="s">
        <v>27</v>
      </c>
      <c r="N14" s="22">
        <f>J14/I14-1</f>
        <v>3.490909090908989E-3</v>
      </c>
      <c r="O14" s="290"/>
      <c r="P14" s="276" t="s">
        <v>28</v>
      </c>
      <c r="R14" s="228"/>
      <c r="W14" s="294" t="s">
        <v>659</v>
      </c>
    </row>
    <row r="15" spans="1:23" ht="50.45" customHeight="1" thickBot="1" x14ac:dyDescent="0.25">
      <c r="A15" s="8" t="s">
        <v>34</v>
      </c>
      <c r="B15" s="17" t="s">
        <v>35</v>
      </c>
      <c r="C15" s="23">
        <v>0</v>
      </c>
      <c r="D15" s="23">
        <v>8</v>
      </c>
      <c r="E15" s="23">
        <v>214</v>
      </c>
      <c r="F15" s="23">
        <v>75</v>
      </c>
      <c r="G15" s="24">
        <v>120</v>
      </c>
      <c r="H15" s="23">
        <v>90</v>
      </c>
      <c r="I15" s="23">
        <v>120</v>
      </c>
      <c r="J15" s="25" t="s">
        <v>36</v>
      </c>
      <c r="K15" s="18">
        <f>267-684</f>
        <v>-417</v>
      </c>
      <c r="L15" s="39">
        <f>267/684-1</f>
        <v>-0.60964912280701755</v>
      </c>
      <c r="M15" s="21" t="s">
        <v>27</v>
      </c>
      <c r="N15" s="16">
        <f>94/I15-1</f>
        <v>-0.21666666666666667</v>
      </c>
      <c r="O15" s="27"/>
      <c r="P15" s="276" t="s">
        <v>38</v>
      </c>
      <c r="R15" s="220" t="s">
        <v>608</v>
      </c>
      <c r="W15" s="294" t="s">
        <v>660</v>
      </c>
    </row>
    <row r="16" spans="1:23" ht="50.45" customHeight="1" thickBot="1" x14ac:dyDescent="0.25">
      <c r="A16" s="8" t="s">
        <v>39</v>
      </c>
      <c r="B16" s="9" t="s">
        <v>40</v>
      </c>
      <c r="C16" s="23">
        <v>421</v>
      </c>
      <c r="D16" s="23">
        <v>249</v>
      </c>
      <c r="E16" s="23">
        <v>300</v>
      </c>
      <c r="F16" s="23">
        <v>248</v>
      </c>
      <c r="G16" s="23">
        <v>484</v>
      </c>
      <c r="H16" s="23">
        <v>258</v>
      </c>
      <c r="I16" s="23">
        <v>345</v>
      </c>
      <c r="J16" s="28">
        <v>288</v>
      </c>
      <c r="K16" s="18">
        <f>288-345</f>
        <v>-57</v>
      </c>
      <c r="L16" s="39">
        <f>288/345-1</f>
        <v>-0.16521739130434787</v>
      </c>
      <c r="M16" s="21" t="s">
        <v>27</v>
      </c>
      <c r="N16" s="16">
        <f>J16/I16-1</f>
        <v>-0.16521739130434787</v>
      </c>
      <c r="O16" s="27"/>
      <c r="P16" s="276" t="s">
        <v>28</v>
      </c>
      <c r="R16" s="220" t="s">
        <v>609</v>
      </c>
      <c r="W16" s="294" t="s">
        <v>661</v>
      </c>
    </row>
    <row r="17" spans="1:23" ht="144" customHeight="1" thickBot="1" x14ac:dyDescent="0.25">
      <c r="A17" s="8" t="s">
        <v>41</v>
      </c>
      <c r="B17" s="17" t="s">
        <v>42</v>
      </c>
      <c r="C17" s="10">
        <v>18247</v>
      </c>
      <c r="D17" s="10">
        <v>18240</v>
      </c>
      <c r="E17" s="10">
        <v>18247</v>
      </c>
      <c r="F17" s="10">
        <v>18240</v>
      </c>
      <c r="G17" s="10">
        <v>18240</v>
      </c>
      <c r="H17" s="11" t="s">
        <v>43</v>
      </c>
      <c r="I17" s="10">
        <v>18240</v>
      </c>
      <c r="J17" s="12">
        <v>14490</v>
      </c>
      <c r="K17" s="18">
        <f>J17-20335</f>
        <v>-5845</v>
      </c>
      <c r="L17" s="39">
        <f>K17/20335</f>
        <v>-0.28743545611015492</v>
      </c>
      <c r="M17" s="20" t="s">
        <v>31</v>
      </c>
      <c r="N17" s="16">
        <f>J17/I17-1</f>
        <v>-0.20559210526315785</v>
      </c>
      <c r="O17" s="290"/>
      <c r="P17" s="276" t="s">
        <v>44</v>
      </c>
      <c r="R17" s="228"/>
      <c r="W17" s="294" t="s">
        <v>663</v>
      </c>
    </row>
    <row r="18" spans="1:23" ht="50.45" customHeight="1" thickBot="1" x14ac:dyDescent="0.25">
      <c r="A18" s="8" t="s">
        <v>45</v>
      </c>
      <c r="B18" s="17" t="s">
        <v>46</v>
      </c>
      <c r="C18" s="10">
        <v>35000</v>
      </c>
      <c r="D18" s="10">
        <v>30523</v>
      </c>
      <c r="E18" s="10">
        <v>38865</v>
      </c>
      <c r="F18" s="10">
        <v>30523</v>
      </c>
      <c r="G18" s="10">
        <v>40000</v>
      </c>
      <c r="H18" s="11" t="s">
        <v>47</v>
      </c>
      <c r="I18" s="10">
        <v>40000</v>
      </c>
      <c r="J18" s="12">
        <v>38865</v>
      </c>
      <c r="K18" s="18">
        <f>J18-40000</f>
        <v>-1135</v>
      </c>
      <c r="L18" s="39">
        <f>K18/40000</f>
        <v>-2.8375000000000001E-2</v>
      </c>
      <c r="M18" s="21" t="s">
        <v>27</v>
      </c>
      <c r="N18" s="16">
        <f>J18/I18-1</f>
        <v>-2.8375000000000039E-2</v>
      </c>
      <c r="O18" s="290"/>
      <c r="P18" s="276" t="s">
        <v>28</v>
      </c>
      <c r="R18" s="228"/>
      <c r="W18" s="294" t="s">
        <v>662</v>
      </c>
    </row>
    <row r="19" spans="1:23" ht="50.45" customHeight="1" thickBot="1" x14ac:dyDescent="0.25">
      <c r="A19" s="8" t="s">
        <v>48</v>
      </c>
      <c r="B19" s="17" t="s">
        <v>49</v>
      </c>
      <c r="C19" s="29">
        <v>0.73</v>
      </c>
      <c r="D19" s="30">
        <v>0.73</v>
      </c>
      <c r="E19" s="29">
        <v>0.73</v>
      </c>
      <c r="F19" s="30">
        <v>0.77470000000000006</v>
      </c>
      <c r="G19" s="29">
        <v>0.73</v>
      </c>
      <c r="H19" s="30">
        <v>0.77200000000000002</v>
      </c>
      <c r="I19" s="11" t="s">
        <v>50</v>
      </c>
      <c r="J19" s="31">
        <v>0.76090000000000002</v>
      </c>
      <c r="K19" s="32" t="s">
        <v>51</v>
      </c>
      <c r="L19" s="57">
        <f>3/73</f>
        <v>4.1095890410958902E-2</v>
      </c>
      <c r="M19" s="20" t="s">
        <v>31</v>
      </c>
      <c r="N19" s="34" t="s">
        <v>52</v>
      </c>
      <c r="O19" s="290"/>
      <c r="P19" s="276" t="s">
        <v>53</v>
      </c>
      <c r="R19" s="228"/>
      <c r="W19" s="294" t="s">
        <v>664</v>
      </c>
    </row>
    <row r="20" spans="1:23" ht="50.45" customHeight="1" thickBot="1" x14ac:dyDescent="0.25">
      <c r="A20" s="8" t="s">
        <v>54</v>
      </c>
      <c r="B20" s="17" t="s">
        <v>55</v>
      </c>
      <c r="C20" s="10">
        <v>18912000</v>
      </c>
      <c r="D20" s="23">
        <v>0</v>
      </c>
      <c r="E20" s="10">
        <v>19505000</v>
      </c>
      <c r="F20" s="10">
        <v>20521830</v>
      </c>
      <c r="G20" s="10">
        <v>20521830</v>
      </c>
      <c r="H20" s="10">
        <v>20521830</v>
      </c>
      <c r="I20" s="10">
        <v>20700000</v>
      </c>
      <c r="J20" s="12">
        <v>22425160</v>
      </c>
      <c r="K20" s="35">
        <f>J20-20700000</f>
        <v>1725160</v>
      </c>
      <c r="L20" s="57">
        <f>K20/I20</f>
        <v>8.3341062801932361E-2</v>
      </c>
      <c r="M20" s="21" t="s">
        <v>27</v>
      </c>
      <c r="N20" s="22">
        <f>J20/I20-1</f>
        <v>8.3341062801932431E-2</v>
      </c>
      <c r="O20" s="290"/>
      <c r="P20" s="276" t="s">
        <v>28</v>
      </c>
      <c r="R20" s="228"/>
    </row>
    <row r="21" spans="1:23" ht="50.45" customHeight="1" thickBot="1" x14ac:dyDescent="0.25">
      <c r="A21" s="8" t="s">
        <v>56</v>
      </c>
      <c r="B21" s="9" t="s">
        <v>57</v>
      </c>
      <c r="C21" s="10">
        <v>1369</v>
      </c>
      <c r="D21" s="10">
        <v>2038</v>
      </c>
      <c r="E21" s="10">
        <v>1628</v>
      </c>
      <c r="F21" s="23">
        <v>976</v>
      </c>
      <c r="G21" s="10">
        <v>1221</v>
      </c>
      <c r="H21" s="10">
        <v>1026</v>
      </c>
      <c r="I21" s="10">
        <v>1107</v>
      </c>
      <c r="J21" s="25" t="s">
        <v>58</v>
      </c>
      <c r="K21" s="18">
        <f>(D21+F21+H21+1424)-5994</f>
        <v>-530</v>
      </c>
      <c r="L21" s="39">
        <f>(D21+F21+H21+1424)/5994-1</f>
        <v>-8.8421755088421761E-2</v>
      </c>
      <c r="M21" s="21" t="s">
        <v>27</v>
      </c>
      <c r="N21" s="22">
        <f>1424/1107-1</f>
        <v>0.28635953026196925</v>
      </c>
      <c r="O21" s="27"/>
      <c r="P21" s="276" t="s">
        <v>38</v>
      </c>
      <c r="R21" s="219" t="s">
        <v>610</v>
      </c>
      <c r="W21" s="294" t="s">
        <v>665</v>
      </c>
    </row>
    <row r="22" spans="1:23" ht="50.45" customHeight="1" thickBot="1" x14ac:dyDescent="0.25">
      <c r="A22" s="8" t="s">
        <v>59</v>
      </c>
      <c r="B22" s="17" t="s">
        <v>60</v>
      </c>
      <c r="C22" s="23" t="s">
        <v>61</v>
      </c>
      <c r="D22" s="23" t="s">
        <v>62</v>
      </c>
      <c r="E22" s="23" t="s">
        <v>63</v>
      </c>
      <c r="F22" s="23" t="s">
        <v>64</v>
      </c>
      <c r="G22" s="23" t="s">
        <v>65</v>
      </c>
      <c r="H22" s="23" t="s">
        <v>66</v>
      </c>
      <c r="I22" s="23" t="s">
        <v>67</v>
      </c>
      <c r="J22" s="25" t="s">
        <v>68</v>
      </c>
      <c r="K22" s="35" t="s">
        <v>69</v>
      </c>
      <c r="L22" s="249" t="s">
        <v>69</v>
      </c>
      <c r="M22" s="21" t="s">
        <v>27</v>
      </c>
      <c r="N22" s="21" t="s">
        <v>69</v>
      </c>
      <c r="O22" s="290"/>
      <c r="P22" s="276" t="s">
        <v>70</v>
      </c>
      <c r="R22" s="228"/>
    </row>
    <row r="23" spans="1:23" ht="50.45" customHeight="1" thickBot="1" x14ac:dyDescent="0.25">
      <c r="A23" s="8" t="s">
        <v>71</v>
      </c>
      <c r="B23" s="17" t="s">
        <v>72</v>
      </c>
      <c r="C23" s="23" t="s">
        <v>73</v>
      </c>
      <c r="D23" s="23" t="s">
        <v>74</v>
      </c>
      <c r="E23" s="23" t="s">
        <v>75</v>
      </c>
      <c r="F23" s="23" t="s">
        <v>76</v>
      </c>
      <c r="G23" s="23" t="s">
        <v>77</v>
      </c>
      <c r="H23" s="23" t="s">
        <v>78</v>
      </c>
      <c r="I23" s="23" t="s">
        <v>79</v>
      </c>
      <c r="J23" s="36" t="s">
        <v>80</v>
      </c>
      <c r="K23" s="37">
        <f>18.06-16.25</f>
        <v>1.8099999999999987</v>
      </c>
      <c r="L23" s="57">
        <f>18.06/16.25-1</f>
        <v>0.11138461538461542</v>
      </c>
      <c r="M23" s="21" t="s">
        <v>27</v>
      </c>
      <c r="N23" s="33">
        <f>18.06/16.25-1</f>
        <v>0.11138461538461542</v>
      </c>
      <c r="O23" s="290"/>
      <c r="P23" s="276" t="s">
        <v>70</v>
      </c>
      <c r="R23" s="228"/>
    </row>
    <row r="24" spans="1:23" ht="70.5" customHeight="1" thickBot="1" x14ac:dyDescent="0.25">
      <c r="A24" s="8" t="s">
        <v>81</v>
      </c>
      <c r="B24" s="17" t="s">
        <v>82</v>
      </c>
      <c r="C24" s="29">
        <v>1</v>
      </c>
      <c r="D24" s="30">
        <v>0.86399999999999999</v>
      </c>
      <c r="E24" s="29">
        <v>1</v>
      </c>
      <c r="F24" s="29">
        <v>0.91</v>
      </c>
      <c r="G24" s="29">
        <v>1</v>
      </c>
      <c r="H24" s="30">
        <v>0.84899999999999998</v>
      </c>
      <c r="I24" s="29">
        <v>1</v>
      </c>
      <c r="J24" s="31">
        <v>0.90269999999999995</v>
      </c>
      <c r="K24" s="38" t="s">
        <v>83</v>
      </c>
      <c r="L24" s="39">
        <f>0.9027/1-1</f>
        <v>-9.7300000000000053E-2</v>
      </c>
      <c r="M24" s="21" t="s">
        <v>27</v>
      </c>
      <c r="N24" s="16">
        <f>J24/I24-1</f>
        <v>-9.7300000000000053E-2</v>
      </c>
      <c r="O24" s="290"/>
      <c r="P24" s="276">
        <v>6516</v>
      </c>
      <c r="R24" s="228"/>
      <c r="W24" s="294" t="s">
        <v>666</v>
      </c>
    </row>
    <row r="25" spans="1:23" ht="50.45" customHeight="1" thickBot="1" x14ac:dyDescent="0.25">
      <c r="A25" s="8" t="s">
        <v>84</v>
      </c>
      <c r="B25" s="9" t="s">
        <v>85</v>
      </c>
      <c r="C25" s="23">
        <v>40</v>
      </c>
      <c r="D25" s="23">
        <v>4</v>
      </c>
      <c r="E25" s="23">
        <v>35</v>
      </c>
      <c r="F25" s="23">
        <v>4</v>
      </c>
      <c r="G25" s="23">
        <v>36</v>
      </c>
      <c r="H25" s="11" t="s">
        <v>86</v>
      </c>
      <c r="I25" s="23">
        <v>37</v>
      </c>
      <c r="J25" s="25" t="s">
        <v>87</v>
      </c>
      <c r="K25" s="18">
        <f>(D25+F25+0+2)-150</f>
        <v>-140</v>
      </c>
      <c r="L25" s="39">
        <f>K25/150</f>
        <v>-0.93333333333333335</v>
      </c>
      <c r="M25" s="21" t="s">
        <v>27</v>
      </c>
      <c r="N25" s="16">
        <f>2/37-1</f>
        <v>-0.94594594594594594</v>
      </c>
      <c r="O25" s="290"/>
      <c r="P25" s="276">
        <v>8585</v>
      </c>
      <c r="R25" s="228"/>
      <c r="W25" s="294" t="s">
        <v>667</v>
      </c>
    </row>
    <row r="26" spans="1:23" ht="92.45" customHeight="1" thickBot="1" x14ac:dyDescent="0.25">
      <c r="A26" s="8" t="s">
        <v>88</v>
      </c>
      <c r="B26" s="17" t="s">
        <v>89</v>
      </c>
      <c r="C26" s="10">
        <v>12000</v>
      </c>
      <c r="D26" s="23" t="s">
        <v>90</v>
      </c>
      <c r="E26" s="10">
        <v>18500</v>
      </c>
      <c r="F26" s="23" t="s">
        <v>90</v>
      </c>
      <c r="G26" s="10">
        <v>12000</v>
      </c>
      <c r="H26" s="23">
        <v>0</v>
      </c>
      <c r="I26" s="10">
        <v>5000</v>
      </c>
      <c r="J26" s="25" t="s">
        <v>91</v>
      </c>
      <c r="K26" s="18">
        <f>0-19000</f>
        <v>-19000</v>
      </c>
      <c r="L26" s="39">
        <f>K26/19000</f>
        <v>-1</v>
      </c>
      <c r="M26" s="20" t="s">
        <v>92</v>
      </c>
      <c r="N26" s="19">
        <f>0/5000-1</f>
        <v>-1</v>
      </c>
      <c r="O26" s="290"/>
      <c r="P26" s="276" t="s">
        <v>93</v>
      </c>
      <c r="R26" s="228"/>
      <c r="W26" s="294" t="s">
        <v>668</v>
      </c>
    </row>
    <row r="27" spans="1:23" ht="67.5" customHeight="1" thickBot="1" x14ac:dyDescent="0.25">
      <c r="A27" s="8" t="s">
        <v>94</v>
      </c>
      <c r="B27" s="17" t="s">
        <v>95</v>
      </c>
      <c r="C27" s="10">
        <v>9500</v>
      </c>
      <c r="D27" s="10">
        <v>13375</v>
      </c>
      <c r="E27" s="10">
        <v>11000</v>
      </c>
      <c r="F27" s="10">
        <v>18510</v>
      </c>
      <c r="G27" s="10">
        <v>17500</v>
      </c>
      <c r="H27" s="10">
        <v>21141</v>
      </c>
      <c r="I27" s="10">
        <v>19000</v>
      </c>
      <c r="J27" s="12">
        <v>23814</v>
      </c>
      <c r="K27" s="35">
        <f>J27-14000</f>
        <v>9814</v>
      </c>
      <c r="L27" s="57">
        <f>K27/14000</f>
        <v>0.70099999999999996</v>
      </c>
      <c r="M27" s="21" t="s">
        <v>27</v>
      </c>
      <c r="N27" s="22">
        <f>J27/I27-1</f>
        <v>0.25336842105263169</v>
      </c>
      <c r="O27" s="290"/>
      <c r="P27" s="40" t="s">
        <v>96</v>
      </c>
      <c r="R27" s="228"/>
    </row>
    <row r="28" spans="1:23" ht="95.1" customHeight="1" thickBot="1" x14ac:dyDescent="0.25">
      <c r="A28" s="8" t="s">
        <v>97</v>
      </c>
      <c r="B28" s="17" t="s">
        <v>98</v>
      </c>
      <c r="C28" s="23" t="s">
        <v>53</v>
      </c>
      <c r="D28" s="23" t="s">
        <v>53</v>
      </c>
      <c r="E28" s="23">
        <v>17</v>
      </c>
      <c r="F28" s="23">
        <v>0</v>
      </c>
      <c r="G28" s="23">
        <v>17</v>
      </c>
      <c r="H28" s="23">
        <v>0</v>
      </c>
      <c r="I28" s="23">
        <v>0</v>
      </c>
      <c r="J28" s="25" t="s">
        <v>99</v>
      </c>
      <c r="K28" s="26" t="s">
        <v>37</v>
      </c>
      <c r="L28" s="250" t="s">
        <v>37</v>
      </c>
      <c r="M28" s="20" t="s">
        <v>92</v>
      </c>
      <c r="N28" s="20"/>
      <c r="O28" s="27"/>
      <c r="P28" s="275" t="s">
        <v>100</v>
      </c>
      <c r="R28" s="220" t="s">
        <v>611</v>
      </c>
      <c r="W28" s="294" t="s">
        <v>734</v>
      </c>
    </row>
    <row r="29" spans="1:23" ht="50.45" customHeight="1" thickBot="1" x14ac:dyDescent="0.25">
      <c r="A29" s="8" t="s">
        <v>101</v>
      </c>
      <c r="B29" s="9" t="s">
        <v>102</v>
      </c>
      <c r="C29" s="10">
        <v>3470</v>
      </c>
      <c r="D29" s="10">
        <v>4596</v>
      </c>
      <c r="E29" s="10">
        <v>3470</v>
      </c>
      <c r="F29" s="10">
        <v>1188</v>
      </c>
      <c r="G29" s="10">
        <v>1925</v>
      </c>
      <c r="H29" s="10">
        <v>1226</v>
      </c>
      <c r="I29" s="10">
        <v>1135</v>
      </c>
      <c r="J29" s="25" t="s">
        <v>103</v>
      </c>
      <c r="K29" s="18">
        <f>(D29+F29+H29+1486)-11000</f>
        <v>-2504</v>
      </c>
      <c r="L29" s="39">
        <f>K29/11000</f>
        <v>-0.22763636363636364</v>
      </c>
      <c r="M29" s="21" t="s">
        <v>27</v>
      </c>
      <c r="N29" s="42">
        <f>1486/1135-1</f>
        <v>0.30925110132158595</v>
      </c>
      <c r="O29" s="291"/>
      <c r="P29" s="44" t="s">
        <v>104</v>
      </c>
      <c r="R29" s="228"/>
    </row>
    <row r="30" spans="1:23" ht="50.45" customHeight="1" thickBot="1" x14ac:dyDescent="0.25">
      <c r="A30" s="8" t="s">
        <v>105</v>
      </c>
      <c r="B30" s="17" t="s">
        <v>106</v>
      </c>
      <c r="C30" s="23">
        <v>100</v>
      </c>
      <c r="D30" s="11" t="s">
        <v>107</v>
      </c>
      <c r="E30" s="23">
        <v>100</v>
      </c>
      <c r="F30" s="23">
        <v>48</v>
      </c>
      <c r="G30" s="23">
        <v>100</v>
      </c>
      <c r="H30" s="23">
        <v>19</v>
      </c>
      <c r="I30" s="23">
        <v>50</v>
      </c>
      <c r="J30" s="28">
        <v>36</v>
      </c>
      <c r="K30" s="18">
        <f>141-430</f>
        <v>-289</v>
      </c>
      <c r="L30" s="39">
        <f>K30/430</f>
        <v>-0.67209302325581399</v>
      </c>
      <c r="M30" s="21" t="s">
        <v>27</v>
      </c>
      <c r="N30" s="16">
        <f>J30/I30-1</f>
        <v>-0.28000000000000003</v>
      </c>
      <c r="O30" s="290"/>
      <c r="P30" s="276" t="s">
        <v>108</v>
      </c>
      <c r="R30" s="228"/>
      <c r="W30" s="294" t="s">
        <v>669</v>
      </c>
    </row>
    <row r="31" spans="1:23" ht="50.45" customHeight="1" thickBot="1" x14ac:dyDescent="0.25">
      <c r="A31" s="8" t="s">
        <v>109</v>
      </c>
      <c r="B31" s="17" t="s">
        <v>110</v>
      </c>
      <c r="C31" s="23">
        <v>183</v>
      </c>
      <c r="D31" s="11" t="s">
        <v>111</v>
      </c>
      <c r="E31" s="23">
        <v>200</v>
      </c>
      <c r="F31" s="23">
        <v>4</v>
      </c>
      <c r="G31" s="23">
        <v>266</v>
      </c>
      <c r="H31" s="23">
        <v>126</v>
      </c>
      <c r="I31" s="23">
        <v>196</v>
      </c>
      <c r="J31" s="28">
        <v>735</v>
      </c>
      <c r="K31" s="35">
        <f>J31-650</f>
        <v>85</v>
      </c>
      <c r="L31" s="57">
        <f>K31/650</f>
        <v>0.13076923076923078</v>
      </c>
      <c r="M31" s="21" t="s">
        <v>27</v>
      </c>
      <c r="N31" s="42">
        <f>735/196-1</f>
        <v>2.75</v>
      </c>
      <c r="O31" s="27"/>
      <c r="P31" s="276" t="s">
        <v>108</v>
      </c>
      <c r="R31" s="220" t="s">
        <v>612</v>
      </c>
    </row>
    <row r="32" spans="1:23" ht="27.95" customHeight="1" x14ac:dyDescent="0.2"/>
    <row r="33" spans="1:16" ht="27.95" customHeight="1" x14ac:dyDescent="0.2">
      <c r="A33" s="46" t="s">
        <v>112</v>
      </c>
    </row>
    <row r="34" spans="1:16" ht="27.95" customHeight="1" x14ac:dyDescent="0.2">
      <c r="A34" s="46" t="s">
        <v>113</v>
      </c>
    </row>
    <row r="35" spans="1:16" ht="27.95" customHeight="1" x14ac:dyDescent="0.2">
      <c r="A35" s="46" t="s">
        <v>114</v>
      </c>
    </row>
    <row r="36" spans="1:16" ht="27.95" customHeight="1" x14ac:dyDescent="0.2">
      <c r="A36" s="329" t="s">
        <v>115</v>
      </c>
      <c r="B36" s="329"/>
      <c r="C36" s="329"/>
      <c r="D36" s="329"/>
      <c r="E36" s="329"/>
      <c r="F36" s="329"/>
      <c r="G36" s="329"/>
      <c r="H36" s="329"/>
      <c r="I36" s="329"/>
      <c r="J36" s="329"/>
      <c r="K36" s="329"/>
      <c r="L36" s="329"/>
      <c r="M36" s="329"/>
      <c r="N36" s="329"/>
      <c r="O36" s="329"/>
    </row>
    <row r="37" spans="1:16" ht="27.95" customHeight="1" x14ac:dyDescent="0.2">
      <c r="A37" s="329" t="s">
        <v>116</v>
      </c>
      <c r="B37" s="329"/>
      <c r="C37" s="329"/>
      <c r="D37" s="329"/>
      <c r="E37" s="329"/>
      <c r="F37" s="329"/>
      <c r="G37" s="329"/>
      <c r="H37" s="329"/>
      <c r="I37" s="329"/>
      <c r="J37" s="329"/>
      <c r="K37" s="329"/>
      <c r="L37" s="329"/>
      <c r="M37" s="329"/>
      <c r="N37" s="329"/>
      <c r="O37" s="329"/>
    </row>
    <row r="38" spans="1:16" ht="27.95" customHeight="1" x14ac:dyDescent="0.2">
      <c r="A38" s="330" t="s">
        <v>117</v>
      </c>
      <c r="B38" s="330"/>
      <c r="C38" s="330"/>
      <c r="D38" s="330"/>
      <c r="E38" s="330"/>
      <c r="F38" s="330"/>
      <c r="G38" s="330"/>
      <c r="H38" s="330"/>
      <c r="I38" s="330"/>
      <c r="J38" s="330"/>
      <c r="K38" s="330"/>
      <c r="L38" s="330"/>
      <c r="M38" s="330"/>
      <c r="N38" s="330"/>
      <c r="O38" s="330"/>
    </row>
    <row r="39" spans="1:16" ht="27.95" customHeight="1" x14ac:dyDescent="0.2">
      <c r="A39" s="330" t="s">
        <v>118</v>
      </c>
      <c r="B39" s="330"/>
      <c r="C39" s="330"/>
      <c r="D39" s="330"/>
      <c r="E39" s="330"/>
      <c r="F39" s="330"/>
      <c r="G39" s="330"/>
      <c r="H39" s="330"/>
      <c r="I39" s="330"/>
      <c r="J39" s="330"/>
      <c r="K39" s="330"/>
      <c r="L39" s="330"/>
      <c r="M39" s="330"/>
      <c r="N39" s="330"/>
      <c r="O39" s="330"/>
      <c r="P39" s="330"/>
    </row>
    <row r="40" spans="1:16" ht="27.95" customHeight="1" x14ac:dyDescent="0.2">
      <c r="A40" s="330" t="s">
        <v>119</v>
      </c>
      <c r="B40" s="330"/>
      <c r="C40" s="330"/>
      <c r="D40" s="330"/>
      <c r="E40" s="330"/>
      <c r="F40" s="330"/>
      <c r="G40" s="330"/>
      <c r="H40" s="330"/>
      <c r="I40" s="330"/>
      <c r="J40" s="330"/>
      <c r="K40" s="330"/>
      <c r="L40" s="330"/>
      <c r="M40" s="330"/>
      <c r="N40" s="330"/>
      <c r="O40" s="330"/>
      <c r="P40" s="330"/>
    </row>
    <row r="41" spans="1:16" ht="27.95" customHeight="1" x14ac:dyDescent="0.2">
      <c r="A41" s="330" t="s">
        <v>120</v>
      </c>
      <c r="B41" s="330"/>
      <c r="C41" s="330"/>
      <c r="D41" s="330"/>
      <c r="E41" s="330"/>
      <c r="F41" s="330"/>
      <c r="G41" s="330"/>
      <c r="H41" s="330"/>
      <c r="I41" s="330"/>
      <c r="J41" s="330"/>
      <c r="K41" s="330"/>
      <c r="L41" s="330"/>
      <c r="M41" s="330"/>
      <c r="N41" s="330"/>
      <c r="O41" s="330"/>
      <c r="P41" s="330"/>
    </row>
    <row r="42" spans="1:16" ht="27.95" customHeight="1" x14ac:dyDescent="0.2">
      <c r="A42" s="329" t="s">
        <v>121</v>
      </c>
      <c r="B42" s="329"/>
      <c r="C42" s="329"/>
      <c r="D42" s="329"/>
      <c r="E42" s="329"/>
      <c r="F42" s="329"/>
      <c r="G42" s="329"/>
      <c r="H42" s="329"/>
      <c r="I42" s="329"/>
      <c r="J42" s="329"/>
      <c r="K42" s="329"/>
      <c r="L42" s="329"/>
      <c r="M42" s="329"/>
      <c r="N42" s="329"/>
      <c r="O42" s="329"/>
      <c r="P42" s="329"/>
    </row>
    <row r="43" spans="1:16" ht="27.95" customHeight="1" x14ac:dyDescent="0.2">
      <c r="A43" s="329" t="s">
        <v>122</v>
      </c>
      <c r="B43" s="329"/>
      <c r="C43" s="329"/>
      <c r="D43" s="329"/>
      <c r="E43" s="329"/>
      <c r="F43" s="329"/>
      <c r="G43" s="329"/>
      <c r="H43" s="329"/>
      <c r="I43" s="329"/>
      <c r="J43" s="329"/>
      <c r="K43" s="329"/>
      <c r="L43" s="329"/>
      <c r="M43" s="329"/>
      <c r="N43" s="329"/>
      <c r="O43" s="329"/>
      <c r="P43" s="329"/>
    </row>
    <row r="44" spans="1:16" ht="27.95" customHeight="1" x14ac:dyDescent="0.2">
      <c r="A44" s="329" t="s">
        <v>123</v>
      </c>
      <c r="B44" s="329"/>
      <c r="C44" s="329"/>
      <c r="D44" s="329"/>
      <c r="E44" s="329"/>
      <c r="F44" s="329"/>
      <c r="G44" s="329"/>
      <c r="H44" s="329"/>
      <c r="I44" s="329"/>
      <c r="J44" s="329"/>
      <c r="K44" s="329"/>
      <c r="L44" s="329"/>
      <c r="M44" s="329"/>
      <c r="N44" s="329"/>
      <c r="O44" s="329"/>
      <c r="P44" s="329"/>
    </row>
    <row r="45" spans="1:16" ht="27.95" customHeight="1" x14ac:dyDescent="0.2">
      <c r="A45" s="329" t="s">
        <v>124</v>
      </c>
      <c r="B45" s="329"/>
      <c r="C45" s="329"/>
      <c r="D45" s="329"/>
      <c r="E45" s="329"/>
      <c r="F45" s="329"/>
      <c r="G45" s="329"/>
      <c r="H45" s="329"/>
      <c r="I45" s="329"/>
      <c r="J45" s="329"/>
      <c r="K45" s="329"/>
      <c r="L45" s="329"/>
      <c r="M45" s="329"/>
      <c r="N45" s="329"/>
      <c r="O45" s="329"/>
      <c r="P45" s="329"/>
    </row>
    <row r="46" spans="1:16" ht="27.95" customHeight="1" x14ac:dyDescent="0.2">
      <c r="A46" s="329" t="s">
        <v>125</v>
      </c>
      <c r="B46" s="329"/>
      <c r="C46" s="329"/>
      <c r="D46" s="329"/>
      <c r="E46" s="329"/>
      <c r="F46" s="329"/>
      <c r="G46" s="329"/>
      <c r="H46" s="329"/>
      <c r="I46" s="329"/>
      <c r="J46" s="329"/>
      <c r="K46" s="329"/>
      <c r="L46" s="329"/>
      <c r="M46" s="329"/>
      <c r="N46" s="329"/>
      <c r="O46" s="329"/>
      <c r="P46" s="329"/>
    </row>
    <row r="47" spans="1:16" ht="36" customHeight="1" x14ac:dyDescent="0.2">
      <c r="A47" s="329" t="s">
        <v>126</v>
      </c>
      <c r="B47" s="329"/>
      <c r="C47" s="329"/>
      <c r="D47" s="329"/>
      <c r="E47" s="329"/>
      <c r="F47" s="329"/>
      <c r="G47" s="329"/>
      <c r="H47" s="329"/>
      <c r="I47" s="329"/>
      <c r="J47" s="329"/>
      <c r="K47" s="329"/>
      <c r="L47" s="329"/>
      <c r="M47" s="329"/>
      <c r="N47" s="329"/>
      <c r="O47" s="329"/>
      <c r="P47" s="329"/>
    </row>
    <row r="48" spans="1:16" ht="27.95" customHeight="1" x14ac:dyDescent="0.2">
      <c r="A48" s="329" t="s">
        <v>127</v>
      </c>
      <c r="B48" s="329"/>
      <c r="C48" s="329"/>
      <c r="D48" s="329"/>
      <c r="E48" s="329"/>
      <c r="F48" s="329"/>
      <c r="G48" s="329"/>
      <c r="H48" s="329"/>
      <c r="I48" s="329"/>
      <c r="J48" s="329"/>
      <c r="K48" s="329"/>
      <c r="L48" s="329"/>
      <c r="M48" s="329"/>
      <c r="N48" s="329"/>
      <c r="O48" s="329"/>
      <c r="P48" s="329"/>
    </row>
    <row r="49" spans="1:23" ht="27.95" customHeight="1" x14ac:dyDescent="0.2">
      <c r="A49" s="329" t="s">
        <v>128</v>
      </c>
      <c r="B49" s="329"/>
      <c r="C49" s="329"/>
      <c r="D49" s="329"/>
      <c r="E49" s="329"/>
      <c r="F49" s="329"/>
      <c r="G49" s="329"/>
      <c r="H49" s="329"/>
      <c r="I49" s="329"/>
      <c r="J49" s="329"/>
      <c r="K49" s="329"/>
      <c r="L49" s="329"/>
      <c r="M49" s="329"/>
      <c r="N49" s="329"/>
      <c r="O49" s="329"/>
      <c r="P49" s="329"/>
    </row>
    <row r="50" spans="1:23" ht="27.95" customHeight="1" x14ac:dyDescent="0.2">
      <c r="A50" s="329" t="s">
        <v>129</v>
      </c>
      <c r="B50" s="329"/>
      <c r="C50" s="329"/>
      <c r="D50" s="329"/>
      <c r="E50" s="329"/>
      <c r="F50" s="329"/>
      <c r="G50" s="329"/>
      <c r="H50" s="329"/>
      <c r="I50" s="329"/>
      <c r="J50" s="329"/>
      <c r="K50" s="329"/>
      <c r="L50" s="329"/>
      <c r="M50" s="329"/>
      <c r="N50" s="329"/>
      <c r="O50" s="329"/>
      <c r="P50" s="329"/>
    </row>
    <row r="51" spans="1:23" ht="27.95" customHeight="1" x14ac:dyDescent="0.2">
      <c r="A51" s="329" t="s">
        <v>130</v>
      </c>
      <c r="B51" s="329"/>
      <c r="C51" s="329"/>
      <c r="D51" s="329"/>
      <c r="E51" s="329"/>
      <c r="F51" s="329"/>
      <c r="G51" s="329"/>
      <c r="H51" s="329"/>
      <c r="I51" s="329"/>
      <c r="J51" s="329"/>
      <c r="K51" s="329"/>
      <c r="L51" s="329"/>
      <c r="M51" s="329"/>
      <c r="N51" s="329"/>
      <c r="O51" s="329"/>
      <c r="P51" s="329"/>
    </row>
    <row r="52" spans="1:23" ht="27.95" customHeight="1" x14ac:dyDescent="0.2">
      <c r="A52" s="329" t="s">
        <v>131</v>
      </c>
      <c r="B52" s="329"/>
      <c r="C52" s="329"/>
      <c r="D52" s="329"/>
      <c r="E52" s="329"/>
      <c r="F52" s="329"/>
      <c r="G52" s="329"/>
      <c r="H52" s="329"/>
      <c r="I52" s="329"/>
      <c r="J52" s="329"/>
      <c r="K52" s="329"/>
      <c r="L52" s="329"/>
      <c r="M52" s="329"/>
      <c r="N52" s="329"/>
      <c r="O52" s="329"/>
      <c r="P52" s="329"/>
    </row>
    <row r="53" spans="1:23" ht="24.95" customHeight="1" x14ac:dyDescent="0.2">
      <c r="A53" s="308" t="s">
        <v>0</v>
      </c>
      <c r="B53" s="308"/>
      <c r="C53" s="308"/>
      <c r="D53" s="308"/>
      <c r="E53" s="308"/>
      <c r="F53" s="308"/>
      <c r="G53" s="308"/>
      <c r="H53" s="308"/>
      <c r="I53" s="308"/>
      <c r="J53" s="308"/>
      <c r="K53" s="308"/>
      <c r="L53" s="308"/>
      <c r="M53" s="308"/>
      <c r="N53" s="308"/>
      <c r="O53" s="308"/>
      <c r="P53" s="308"/>
    </row>
    <row r="54" spans="1:23" ht="50.45" customHeight="1" thickBot="1" x14ac:dyDescent="0.25">
      <c r="A54" s="308" t="s">
        <v>132</v>
      </c>
      <c r="B54" s="308"/>
      <c r="C54" s="308"/>
      <c r="D54" s="308"/>
      <c r="E54" s="308"/>
      <c r="F54" s="308"/>
      <c r="G54" s="308"/>
      <c r="H54" s="308"/>
      <c r="I54" s="308"/>
      <c r="J54" s="308"/>
      <c r="K54" s="308"/>
      <c r="L54" s="308"/>
      <c r="M54" s="308"/>
      <c r="N54" s="47"/>
    </row>
    <row r="55" spans="1:23" ht="26.45" customHeight="1" thickBot="1" x14ac:dyDescent="0.25">
      <c r="A55" s="310" t="s">
        <v>2</v>
      </c>
      <c r="B55" s="311"/>
      <c r="C55" s="311"/>
      <c r="D55" s="311"/>
      <c r="E55" s="311"/>
      <c r="F55" s="311"/>
      <c r="G55" s="311"/>
      <c r="H55" s="311"/>
      <c r="I55" s="311"/>
      <c r="J55" s="312"/>
      <c r="K55" s="334" t="s">
        <v>3</v>
      </c>
      <c r="L55" s="335"/>
      <c r="M55" s="335"/>
      <c r="N55" s="335"/>
      <c r="O55" s="335"/>
      <c r="P55" s="335"/>
      <c r="R55" s="266" t="s">
        <v>654</v>
      </c>
      <c r="U55" s="278"/>
      <c r="W55" s="305" t="s">
        <v>679</v>
      </c>
    </row>
    <row r="56" spans="1:23" ht="30" customHeight="1" thickBot="1" x14ac:dyDescent="0.25">
      <c r="A56" s="315" t="s">
        <v>4</v>
      </c>
      <c r="B56" s="2" t="s">
        <v>5</v>
      </c>
      <c r="C56" s="318" t="s">
        <v>6</v>
      </c>
      <c r="D56" s="319"/>
      <c r="E56" s="318" t="s">
        <v>6</v>
      </c>
      <c r="F56" s="319"/>
      <c r="G56" s="318" t="s">
        <v>6</v>
      </c>
      <c r="H56" s="319"/>
      <c r="I56" s="318" t="s">
        <v>6</v>
      </c>
      <c r="J56" s="319"/>
      <c r="K56" s="321" t="s">
        <v>7</v>
      </c>
      <c r="L56" s="322"/>
      <c r="M56" s="321" t="s">
        <v>8</v>
      </c>
      <c r="N56" s="323"/>
      <c r="O56" s="324" t="s">
        <v>9</v>
      </c>
      <c r="P56" s="327" t="s">
        <v>10</v>
      </c>
      <c r="R56" s="306" t="s">
        <v>607</v>
      </c>
      <c r="U56" s="279"/>
      <c r="W56" s="305"/>
    </row>
    <row r="57" spans="1:23" ht="30" customHeight="1" thickBot="1" x14ac:dyDescent="0.25">
      <c r="A57" s="316"/>
      <c r="B57" s="316" t="s">
        <v>11</v>
      </c>
      <c r="C57" s="331" t="s">
        <v>12</v>
      </c>
      <c r="D57" s="332"/>
      <c r="E57" s="331" t="s">
        <v>13</v>
      </c>
      <c r="F57" s="332"/>
      <c r="G57" s="331" t="s">
        <v>14</v>
      </c>
      <c r="H57" s="332"/>
      <c r="I57" s="331" t="s">
        <v>15</v>
      </c>
      <c r="J57" s="332"/>
      <c r="K57" s="321" t="s">
        <v>16</v>
      </c>
      <c r="L57" s="322"/>
      <c r="M57" s="321" t="s">
        <v>17</v>
      </c>
      <c r="N57" s="322"/>
      <c r="O57" s="325"/>
      <c r="P57" s="328"/>
      <c r="R57" s="306"/>
      <c r="U57" s="279"/>
      <c r="W57" s="305"/>
    </row>
    <row r="58" spans="1:23" ht="54" customHeight="1" thickBot="1" x14ac:dyDescent="0.25">
      <c r="A58" s="317"/>
      <c r="B58" s="317"/>
      <c r="C58" s="3" t="s">
        <v>18</v>
      </c>
      <c r="D58" s="3" t="s">
        <v>19</v>
      </c>
      <c r="E58" s="3" t="s">
        <v>18</v>
      </c>
      <c r="F58" s="3" t="s">
        <v>19</v>
      </c>
      <c r="G58" s="3" t="s">
        <v>18</v>
      </c>
      <c r="H58" s="3" t="s">
        <v>19</v>
      </c>
      <c r="I58" s="3" t="s">
        <v>18</v>
      </c>
      <c r="J58" s="3" t="s">
        <v>19</v>
      </c>
      <c r="K58" s="5" t="s">
        <v>20</v>
      </c>
      <c r="L58" s="248" t="s">
        <v>21</v>
      </c>
      <c r="M58" s="6" t="s">
        <v>22</v>
      </c>
      <c r="N58" s="7" t="s">
        <v>23</v>
      </c>
      <c r="O58" s="326"/>
      <c r="P58" s="326"/>
      <c r="R58" s="307"/>
      <c r="U58" s="279"/>
      <c r="W58" s="305"/>
    </row>
    <row r="59" spans="1:23" ht="57" customHeight="1" thickBot="1" x14ac:dyDescent="0.25">
      <c r="A59" s="48" t="s">
        <v>133</v>
      </c>
      <c r="B59" s="49" t="s">
        <v>134</v>
      </c>
      <c r="C59" s="50">
        <v>100</v>
      </c>
      <c r="D59" s="51">
        <v>0</v>
      </c>
      <c r="E59" s="50">
        <v>100</v>
      </c>
      <c r="F59" s="52">
        <v>0</v>
      </c>
      <c r="G59" s="51">
        <v>291</v>
      </c>
      <c r="H59" s="52">
        <v>0</v>
      </c>
      <c r="I59" s="52">
        <v>149</v>
      </c>
      <c r="J59" s="53" t="s">
        <v>135</v>
      </c>
      <c r="K59" s="18">
        <f>0-812</f>
        <v>-812</v>
      </c>
      <c r="L59" s="39">
        <f>K59/812</f>
        <v>-1</v>
      </c>
      <c r="M59" s="20" t="s">
        <v>92</v>
      </c>
      <c r="N59" s="19">
        <f>0/149-1</f>
        <v>-1</v>
      </c>
      <c r="O59" s="290"/>
      <c r="P59" s="273" t="s">
        <v>136</v>
      </c>
      <c r="R59" s="228"/>
      <c r="W59" s="294" t="s">
        <v>670</v>
      </c>
    </row>
    <row r="60" spans="1:23" ht="99.95" customHeight="1" thickBot="1" x14ac:dyDescent="0.25">
      <c r="A60" s="48" t="s">
        <v>137</v>
      </c>
      <c r="B60" s="49" t="s">
        <v>138</v>
      </c>
      <c r="C60" s="54">
        <v>170000</v>
      </c>
      <c r="D60" s="55">
        <v>168111</v>
      </c>
      <c r="E60" s="55">
        <v>174000</v>
      </c>
      <c r="F60" s="55">
        <v>200939</v>
      </c>
      <c r="G60" s="56">
        <v>178000</v>
      </c>
      <c r="H60" s="55">
        <v>186322</v>
      </c>
      <c r="I60" s="55">
        <v>170000</v>
      </c>
      <c r="J60" s="53" t="s">
        <v>139</v>
      </c>
      <c r="K60" s="35">
        <f>214000-182000</f>
        <v>32000</v>
      </c>
      <c r="L60" s="57">
        <f>K60/182000</f>
        <v>0.17582417582417584</v>
      </c>
      <c r="M60" s="21" t="s">
        <v>27</v>
      </c>
      <c r="N60" s="22">
        <f>214264/170000-1</f>
        <v>0.26037647058823521</v>
      </c>
      <c r="O60" s="290"/>
      <c r="P60" s="273" t="s">
        <v>100</v>
      </c>
      <c r="R60" s="228"/>
      <c r="W60" s="294" t="s">
        <v>671</v>
      </c>
    </row>
    <row r="61" spans="1:23" ht="81" customHeight="1" thickBot="1" x14ac:dyDescent="0.25">
      <c r="A61" s="48" t="s">
        <v>140</v>
      </c>
      <c r="B61" s="49" t="s">
        <v>141</v>
      </c>
      <c r="C61" s="50">
        <v>35</v>
      </c>
      <c r="D61" s="58">
        <v>9</v>
      </c>
      <c r="E61" s="50">
        <v>35</v>
      </c>
      <c r="F61" s="52">
        <v>53</v>
      </c>
      <c r="G61" s="51">
        <v>35</v>
      </c>
      <c r="H61" s="52">
        <v>36</v>
      </c>
      <c r="I61" s="52">
        <v>61</v>
      </c>
      <c r="J61" s="53" t="s">
        <v>142</v>
      </c>
      <c r="K61" s="18">
        <f>(D61+F61+H61+19)-140</f>
        <v>-23</v>
      </c>
      <c r="L61" s="39">
        <f>K61/140</f>
        <v>-0.16428571428571428</v>
      </c>
      <c r="M61" s="20" t="s">
        <v>31</v>
      </c>
      <c r="N61" s="16">
        <f>19/61-1</f>
        <v>-0.68852459016393441</v>
      </c>
      <c r="O61" s="290"/>
      <c r="P61" s="273" t="s">
        <v>38</v>
      </c>
      <c r="R61" s="228"/>
      <c r="W61" s="294" t="s">
        <v>672</v>
      </c>
    </row>
    <row r="62" spans="1:23" ht="92.1" customHeight="1" thickBot="1" x14ac:dyDescent="0.25">
      <c r="A62" s="48" t="s">
        <v>143</v>
      </c>
      <c r="B62" s="49" t="s">
        <v>144</v>
      </c>
      <c r="C62" s="50">
        <v>30</v>
      </c>
      <c r="D62" s="50">
        <v>31</v>
      </c>
      <c r="E62" s="50">
        <v>30</v>
      </c>
      <c r="F62" s="52">
        <v>11</v>
      </c>
      <c r="G62" s="51">
        <v>32</v>
      </c>
      <c r="H62" s="52">
        <v>16</v>
      </c>
      <c r="I62" s="52">
        <v>58</v>
      </c>
      <c r="J62" s="53" t="s">
        <v>145</v>
      </c>
      <c r="K62" s="18">
        <f>(D62+F62+H62+6)-120</f>
        <v>-56</v>
      </c>
      <c r="L62" s="39">
        <f>K62/120</f>
        <v>-0.46666666666666667</v>
      </c>
      <c r="M62" s="20" t="s">
        <v>31</v>
      </c>
      <c r="N62" s="16">
        <f>6/58-1</f>
        <v>-0.89655172413793105</v>
      </c>
      <c r="O62" s="290"/>
      <c r="P62" s="273" t="s">
        <v>146</v>
      </c>
      <c r="R62" s="228"/>
      <c r="W62" s="294" t="s">
        <v>735</v>
      </c>
    </row>
    <row r="63" spans="1:23" ht="81" customHeight="1" thickBot="1" x14ac:dyDescent="0.25">
      <c r="A63" s="48" t="s">
        <v>147</v>
      </c>
      <c r="B63" s="49" t="s">
        <v>148</v>
      </c>
      <c r="C63" s="50">
        <v>5</v>
      </c>
      <c r="D63" s="58">
        <v>4</v>
      </c>
      <c r="E63" s="50">
        <v>5</v>
      </c>
      <c r="F63" s="52">
        <v>8</v>
      </c>
      <c r="G63" s="51">
        <v>7</v>
      </c>
      <c r="H63" s="52">
        <v>4</v>
      </c>
      <c r="I63" s="52">
        <v>5</v>
      </c>
      <c r="J63" s="53" t="s">
        <v>149</v>
      </c>
      <c r="K63" s="35">
        <f>(D63+F63+H63+9)-20</f>
        <v>5</v>
      </c>
      <c r="L63" s="57">
        <f>K63/20</f>
        <v>0.25</v>
      </c>
      <c r="M63" s="21" t="s">
        <v>27</v>
      </c>
      <c r="N63" s="22">
        <f>9/5-1</f>
        <v>0.8</v>
      </c>
      <c r="O63" s="290"/>
      <c r="P63" s="273" t="s">
        <v>150</v>
      </c>
      <c r="R63" s="228"/>
      <c r="W63" s="294" t="s">
        <v>673</v>
      </c>
    </row>
    <row r="64" spans="1:23" ht="81" customHeight="1" thickBot="1" x14ac:dyDescent="0.25">
      <c r="A64" s="48" t="s">
        <v>151</v>
      </c>
      <c r="B64" s="59" t="s">
        <v>152</v>
      </c>
      <c r="C64" s="50">
        <v>15</v>
      </c>
      <c r="D64" s="58">
        <v>3</v>
      </c>
      <c r="E64" s="50">
        <v>15</v>
      </c>
      <c r="F64" s="52">
        <v>8</v>
      </c>
      <c r="G64" s="51">
        <v>15</v>
      </c>
      <c r="H64" s="52">
        <v>2</v>
      </c>
      <c r="I64" s="52">
        <v>26</v>
      </c>
      <c r="J64" s="53" t="s">
        <v>153</v>
      </c>
      <c r="K64" s="18">
        <f>(D64+F64+H64+2)-60</f>
        <v>-45</v>
      </c>
      <c r="L64" s="39">
        <f>K64/60</f>
        <v>-0.75</v>
      </c>
      <c r="M64" s="60" t="s">
        <v>154</v>
      </c>
      <c r="N64" s="16">
        <f>2/26-1</f>
        <v>-0.92307692307692313</v>
      </c>
      <c r="O64" s="290"/>
      <c r="P64" s="273" t="s">
        <v>38</v>
      </c>
      <c r="R64" s="228"/>
      <c r="W64" s="294" t="s">
        <v>736</v>
      </c>
    </row>
    <row r="65" spans="1:23" ht="81" customHeight="1" thickBot="1" x14ac:dyDescent="0.25">
      <c r="A65" s="48" t="s">
        <v>155</v>
      </c>
      <c r="B65" s="49" t="s">
        <v>156</v>
      </c>
      <c r="C65" s="55">
        <v>3000000</v>
      </c>
      <c r="D65" s="61">
        <v>2572354</v>
      </c>
      <c r="E65" s="55">
        <v>3418394</v>
      </c>
      <c r="F65" s="62">
        <v>2611669</v>
      </c>
      <c r="G65" s="56">
        <v>3992209</v>
      </c>
      <c r="H65" s="56">
        <v>2465147</v>
      </c>
      <c r="I65" s="56">
        <v>2700000</v>
      </c>
      <c r="J65" s="53" t="s">
        <v>157</v>
      </c>
      <c r="K65" s="18">
        <f>(D65+F65+H65+2253068)-12500000</f>
        <v>-2597762</v>
      </c>
      <c r="L65" s="39">
        <f>K65/12500000</f>
        <v>-0.20782096</v>
      </c>
      <c r="M65" s="20" t="s">
        <v>31</v>
      </c>
      <c r="N65" s="16">
        <f>2253068/2700000-1</f>
        <v>-0.16553037037037033</v>
      </c>
      <c r="O65" s="290"/>
      <c r="P65" s="273" t="s">
        <v>38</v>
      </c>
      <c r="R65" s="228"/>
      <c r="W65" s="294" t="s">
        <v>674</v>
      </c>
    </row>
    <row r="66" spans="1:23" ht="108" customHeight="1" thickBot="1" x14ac:dyDescent="0.25">
      <c r="A66" s="48" t="s">
        <v>158</v>
      </c>
      <c r="B66" s="49" t="s">
        <v>159</v>
      </c>
      <c r="C66" s="55">
        <v>7500000</v>
      </c>
      <c r="D66" s="61">
        <v>6944756</v>
      </c>
      <c r="E66" s="55">
        <v>7500000</v>
      </c>
      <c r="F66" s="56">
        <v>6844324</v>
      </c>
      <c r="G66" s="56">
        <v>7500000</v>
      </c>
      <c r="H66" s="56">
        <v>6956725</v>
      </c>
      <c r="I66" s="56">
        <v>6600000</v>
      </c>
      <c r="J66" s="53" t="s">
        <v>160</v>
      </c>
      <c r="K66" s="18">
        <f>(D66+F66+H66+6165258)-30000000</f>
        <v>-3088937</v>
      </c>
      <c r="L66" s="39">
        <f>K66/30000000</f>
        <v>-0.10296456666666666</v>
      </c>
      <c r="M66" s="20" t="s">
        <v>31</v>
      </c>
      <c r="N66" s="16">
        <f>6165258/6600000-1</f>
        <v>-6.5869999999999984E-2</v>
      </c>
      <c r="O66" s="290"/>
      <c r="P66" s="273" t="s">
        <v>38</v>
      </c>
      <c r="R66" s="228"/>
      <c r="W66" s="294" t="s">
        <v>675</v>
      </c>
    </row>
    <row r="67" spans="1:23" ht="77.099999999999994" customHeight="1" thickBot="1" x14ac:dyDescent="0.25">
      <c r="A67" s="48" t="s">
        <v>161</v>
      </c>
      <c r="B67" s="49" t="s">
        <v>162</v>
      </c>
      <c r="C67" s="50">
        <v>25</v>
      </c>
      <c r="D67" s="58">
        <v>1</v>
      </c>
      <c r="E67" s="50">
        <v>20</v>
      </c>
      <c r="F67" s="52">
        <v>5</v>
      </c>
      <c r="G67" s="51">
        <v>33</v>
      </c>
      <c r="H67" s="52">
        <v>12</v>
      </c>
      <c r="I67" s="52">
        <v>26</v>
      </c>
      <c r="J67" s="53" t="s">
        <v>163</v>
      </c>
      <c r="K67" s="18">
        <f>(D67+F67+H67+21)-80</f>
        <v>-41</v>
      </c>
      <c r="L67" s="39">
        <f>K67/80</f>
        <v>-0.51249999999999996</v>
      </c>
      <c r="M67" s="21" t="s">
        <v>27</v>
      </c>
      <c r="N67" s="16">
        <f>21/26-1</f>
        <v>-0.19230769230769229</v>
      </c>
      <c r="O67" s="290"/>
      <c r="P67" s="273" t="s">
        <v>164</v>
      </c>
      <c r="R67" s="228"/>
      <c r="W67" s="294" t="s">
        <v>676</v>
      </c>
    </row>
    <row r="68" spans="1:23" ht="74.45" customHeight="1" thickBot="1" x14ac:dyDescent="0.25">
      <c r="A68" s="48" t="s">
        <v>165</v>
      </c>
      <c r="B68" s="49" t="s">
        <v>166</v>
      </c>
      <c r="C68" s="50">
        <v>50</v>
      </c>
      <c r="D68" s="58">
        <v>98</v>
      </c>
      <c r="E68" s="50">
        <v>25</v>
      </c>
      <c r="F68" s="52">
        <v>47</v>
      </c>
      <c r="G68" s="51">
        <v>50</v>
      </c>
      <c r="H68" s="52">
        <v>42</v>
      </c>
      <c r="I68" s="52">
        <v>50</v>
      </c>
      <c r="J68" s="63">
        <v>26</v>
      </c>
      <c r="K68" s="35">
        <f>(D68+F68+H68+J68)-175</f>
        <v>38</v>
      </c>
      <c r="L68" s="57">
        <f>K68/175</f>
        <v>0.21714285714285714</v>
      </c>
      <c r="M68" s="20" t="s">
        <v>31</v>
      </c>
      <c r="N68" s="16">
        <f>J68/I68-1</f>
        <v>-0.48</v>
      </c>
      <c r="O68" s="290"/>
      <c r="P68" s="273" t="s">
        <v>38</v>
      </c>
      <c r="R68" s="228"/>
      <c r="W68" s="294" t="s">
        <v>677</v>
      </c>
    </row>
    <row r="69" spans="1:23" ht="57" customHeight="1" thickBot="1" x14ac:dyDescent="0.25">
      <c r="A69" s="48" t="s">
        <v>167</v>
      </c>
      <c r="B69" s="49" t="s">
        <v>168</v>
      </c>
      <c r="C69" s="50">
        <v>600</v>
      </c>
      <c r="D69" s="58">
        <v>359</v>
      </c>
      <c r="E69" s="50">
        <v>600</v>
      </c>
      <c r="F69" s="52">
        <v>279</v>
      </c>
      <c r="G69" s="51">
        <v>600</v>
      </c>
      <c r="H69" s="51">
        <v>378</v>
      </c>
      <c r="I69" s="51">
        <v>200</v>
      </c>
      <c r="J69" s="53" t="s">
        <v>169</v>
      </c>
      <c r="K69" s="18">
        <f>(D69+F69+H69+288)-2400</f>
        <v>-1096</v>
      </c>
      <c r="L69" s="39">
        <f>K69/2400</f>
        <v>-0.45666666666666667</v>
      </c>
      <c r="M69" s="20" t="s">
        <v>31</v>
      </c>
      <c r="N69" s="22">
        <f>288/200-1</f>
        <v>0.43999999999999995</v>
      </c>
      <c r="O69" s="290"/>
      <c r="P69" s="273" t="s">
        <v>170</v>
      </c>
      <c r="R69" s="228"/>
      <c r="W69" s="294" t="s">
        <v>678</v>
      </c>
    </row>
    <row r="70" spans="1:23" ht="57" customHeight="1" thickBot="1" x14ac:dyDescent="0.25">
      <c r="A70" s="48" t="s">
        <v>171</v>
      </c>
      <c r="B70" s="59" t="s">
        <v>172</v>
      </c>
      <c r="C70" s="50">
        <v>158</v>
      </c>
      <c r="D70" s="58">
        <v>111</v>
      </c>
      <c r="E70" s="50">
        <v>151</v>
      </c>
      <c r="F70" s="52">
        <v>114</v>
      </c>
      <c r="G70" s="51">
        <v>176</v>
      </c>
      <c r="H70" s="51">
        <v>152</v>
      </c>
      <c r="I70" s="51">
        <v>160</v>
      </c>
      <c r="J70" s="63">
        <v>158</v>
      </c>
      <c r="K70" s="18">
        <f>158-160</f>
        <v>-2</v>
      </c>
      <c r="L70" s="39">
        <f>K70/160</f>
        <v>-1.2500000000000001E-2</v>
      </c>
      <c r="M70" s="21" t="s">
        <v>27</v>
      </c>
      <c r="N70" s="16">
        <f>J70/I70-1</f>
        <v>-1.2499999999999956E-2</v>
      </c>
      <c r="O70" s="290"/>
      <c r="P70" s="273" t="s">
        <v>28</v>
      </c>
      <c r="R70" s="228"/>
      <c r="W70" s="294" t="s">
        <v>680</v>
      </c>
    </row>
    <row r="71" spans="1:23" ht="95.45" customHeight="1" thickBot="1" x14ac:dyDescent="0.25">
      <c r="A71" s="48" t="s">
        <v>173</v>
      </c>
      <c r="B71" s="49" t="s">
        <v>174</v>
      </c>
      <c r="C71" s="50">
        <v>9</v>
      </c>
      <c r="D71" s="58">
        <v>1</v>
      </c>
      <c r="E71" s="50">
        <v>9</v>
      </c>
      <c r="F71" s="52">
        <v>1</v>
      </c>
      <c r="G71" s="51">
        <v>12</v>
      </c>
      <c r="H71" s="51">
        <v>0</v>
      </c>
      <c r="I71" s="51">
        <v>6</v>
      </c>
      <c r="J71" s="53" t="s">
        <v>175</v>
      </c>
      <c r="K71" s="18">
        <f>(D71+F71+H71+2)-37</f>
        <v>-33</v>
      </c>
      <c r="L71" s="39">
        <f>K71/37</f>
        <v>-0.89189189189189189</v>
      </c>
      <c r="M71" s="21" t="s">
        <v>27</v>
      </c>
      <c r="N71" s="16">
        <f>2/6-1</f>
        <v>-0.66666666666666674</v>
      </c>
      <c r="O71" s="290"/>
      <c r="P71" s="64" t="s">
        <v>176</v>
      </c>
      <c r="R71" s="228"/>
      <c r="W71" s="294" t="s">
        <v>681</v>
      </c>
    </row>
    <row r="72" spans="1:23" ht="97.5" customHeight="1" thickBot="1" x14ac:dyDescent="0.25">
      <c r="A72" s="48" t="s">
        <v>177</v>
      </c>
      <c r="B72" s="49" t="s">
        <v>178</v>
      </c>
      <c r="C72" s="50">
        <v>7</v>
      </c>
      <c r="D72" s="58">
        <v>7</v>
      </c>
      <c r="E72" s="50">
        <v>7</v>
      </c>
      <c r="F72" s="52">
        <v>5</v>
      </c>
      <c r="G72" s="51">
        <v>7</v>
      </c>
      <c r="H72" s="52">
        <v>1</v>
      </c>
      <c r="I72" s="52">
        <v>7</v>
      </c>
      <c r="J72" s="53" t="s">
        <v>179</v>
      </c>
      <c r="K72" s="18">
        <f>(D72+F72+H72+2)-28</f>
        <v>-13</v>
      </c>
      <c r="L72" s="39">
        <f>K72/28</f>
        <v>-0.4642857142857143</v>
      </c>
      <c r="M72" s="21" t="s">
        <v>27</v>
      </c>
      <c r="N72" s="16">
        <f>2/7-1</f>
        <v>-0.7142857142857143</v>
      </c>
      <c r="O72" s="290"/>
      <c r="P72" s="64" t="s">
        <v>176</v>
      </c>
      <c r="R72" s="228"/>
      <c r="W72" s="294" t="s">
        <v>682</v>
      </c>
    </row>
    <row r="73" spans="1:23" ht="119.1" customHeight="1" thickBot="1" x14ac:dyDescent="0.25">
      <c r="A73" s="48" t="s">
        <v>180</v>
      </c>
      <c r="B73" s="49" t="s">
        <v>181</v>
      </c>
      <c r="C73" s="50">
        <v>120</v>
      </c>
      <c r="D73" s="58">
        <v>102</v>
      </c>
      <c r="E73" s="50">
        <v>120</v>
      </c>
      <c r="F73" s="52">
        <v>80</v>
      </c>
      <c r="G73" s="51">
        <v>60</v>
      </c>
      <c r="H73" s="52">
        <v>30</v>
      </c>
      <c r="I73" s="52">
        <v>84</v>
      </c>
      <c r="J73" s="53" t="s">
        <v>182</v>
      </c>
      <c r="K73" s="18">
        <f>(D73+F73+H73+75)-480</f>
        <v>-193</v>
      </c>
      <c r="L73" s="39">
        <f>K73/480</f>
        <v>-0.40208333333333335</v>
      </c>
      <c r="M73" s="21" t="s">
        <v>27</v>
      </c>
      <c r="N73" s="16">
        <f>75/84-1</f>
        <v>-0.1071428571428571</v>
      </c>
      <c r="O73" s="290"/>
      <c r="P73" s="64" t="s">
        <v>176</v>
      </c>
      <c r="R73" s="228"/>
      <c r="W73" s="294" t="s">
        <v>683</v>
      </c>
    </row>
    <row r="74" spans="1:23" ht="159.94999999999999" customHeight="1" thickBot="1" x14ac:dyDescent="0.25">
      <c r="A74" s="48" t="s">
        <v>183</v>
      </c>
      <c r="B74" s="49" t="s">
        <v>184</v>
      </c>
      <c r="C74" s="50">
        <v>40</v>
      </c>
      <c r="D74" s="58">
        <v>7</v>
      </c>
      <c r="E74" s="50">
        <v>40</v>
      </c>
      <c r="F74" s="52">
        <v>9</v>
      </c>
      <c r="G74" s="51">
        <v>44</v>
      </c>
      <c r="H74" s="52">
        <v>16</v>
      </c>
      <c r="I74" s="52">
        <v>45</v>
      </c>
      <c r="J74" s="53" t="s">
        <v>185</v>
      </c>
      <c r="K74" s="18">
        <f>(D74+F74+H74+8)-80</f>
        <v>-40</v>
      </c>
      <c r="L74" s="39">
        <f>K74/80</f>
        <v>-0.5</v>
      </c>
      <c r="M74" s="20" t="s">
        <v>31</v>
      </c>
      <c r="N74" s="16">
        <f>8/45-1</f>
        <v>-0.82222222222222219</v>
      </c>
      <c r="O74" s="290"/>
      <c r="P74" s="64" t="s">
        <v>186</v>
      </c>
      <c r="R74" s="228"/>
      <c r="W74" s="295" t="s">
        <v>684</v>
      </c>
    </row>
    <row r="75" spans="1:23" ht="96" customHeight="1" thickBot="1" x14ac:dyDescent="0.25">
      <c r="A75" s="48" t="s">
        <v>187</v>
      </c>
      <c r="B75" s="49" t="s">
        <v>188</v>
      </c>
      <c r="C75" s="50">
        <v>40</v>
      </c>
      <c r="D75" s="58">
        <v>27</v>
      </c>
      <c r="E75" s="50">
        <v>40</v>
      </c>
      <c r="F75" s="52">
        <v>16</v>
      </c>
      <c r="G75" s="51">
        <v>41</v>
      </c>
      <c r="H75" s="52">
        <v>0</v>
      </c>
      <c r="I75" s="52">
        <v>20</v>
      </c>
      <c r="J75" s="53" t="s">
        <v>189</v>
      </c>
      <c r="K75" s="18">
        <f>(D75+F75+H75+12)-162</f>
        <v>-107</v>
      </c>
      <c r="L75" s="39">
        <f>K75/162</f>
        <v>-0.66049382716049387</v>
      </c>
      <c r="M75" s="21" t="s">
        <v>27</v>
      </c>
      <c r="N75" s="16">
        <f>12/20-1</f>
        <v>-0.4</v>
      </c>
      <c r="O75" s="290"/>
      <c r="P75" s="64" t="s">
        <v>190</v>
      </c>
      <c r="R75" s="228"/>
      <c r="W75" s="295" t="s">
        <v>685</v>
      </c>
    </row>
    <row r="76" spans="1:23" ht="96" customHeight="1" thickBot="1" x14ac:dyDescent="0.25">
      <c r="A76" s="48" t="s">
        <v>191</v>
      </c>
      <c r="B76" s="49" t="s">
        <v>192</v>
      </c>
      <c r="C76" s="50">
        <v>125</v>
      </c>
      <c r="D76" s="58">
        <v>155</v>
      </c>
      <c r="E76" s="50">
        <v>125</v>
      </c>
      <c r="F76" s="52">
        <v>175</v>
      </c>
      <c r="G76" s="51">
        <v>116</v>
      </c>
      <c r="H76" s="52">
        <v>125</v>
      </c>
      <c r="I76" s="52">
        <v>149</v>
      </c>
      <c r="J76" s="53" t="s">
        <v>193</v>
      </c>
      <c r="K76" s="35">
        <f>(D76+F76+H76+172)-502</f>
        <v>125</v>
      </c>
      <c r="L76" s="57">
        <f>K76/502</f>
        <v>0.24900398406374502</v>
      </c>
      <c r="M76" s="21" t="s">
        <v>27</v>
      </c>
      <c r="N76" s="22">
        <f>172/149-1</f>
        <v>0.15436241610738266</v>
      </c>
      <c r="O76" s="290"/>
      <c r="P76" s="64" t="s">
        <v>176</v>
      </c>
      <c r="R76" s="228"/>
      <c r="W76" s="294" t="s">
        <v>686</v>
      </c>
    </row>
    <row r="77" spans="1:23" ht="71.45" customHeight="1" thickBot="1" x14ac:dyDescent="0.25">
      <c r="A77" s="48" t="s">
        <v>194</v>
      </c>
      <c r="B77" s="49" t="s">
        <v>195</v>
      </c>
      <c r="C77" s="50">
        <v>200</v>
      </c>
      <c r="D77" s="58">
        <v>0</v>
      </c>
      <c r="E77" s="50">
        <v>100</v>
      </c>
      <c r="F77" s="52">
        <v>58</v>
      </c>
      <c r="G77" s="51">
        <v>200</v>
      </c>
      <c r="H77" s="52">
        <v>9</v>
      </c>
      <c r="I77" s="52">
        <v>80</v>
      </c>
      <c r="J77" s="63">
        <v>35</v>
      </c>
      <c r="K77" s="18">
        <f>(D77+F77+H77+J77)-400</f>
        <v>-298</v>
      </c>
      <c r="L77" s="39">
        <f>K77/400</f>
        <v>-0.745</v>
      </c>
      <c r="M77" s="21" t="s">
        <v>27</v>
      </c>
      <c r="N77" s="16">
        <f>J77/I77-1</f>
        <v>-0.5625</v>
      </c>
      <c r="O77" s="290"/>
      <c r="P77" s="273" t="s">
        <v>108</v>
      </c>
      <c r="R77" s="228"/>
      <c r="W77" s="294" t="s">
        <v>687</v>
      </c>
    </row>
    <row r="78" spans="1:23" ht="98.1" customHeight="1" thickBot="1" x14ac:dyDescent="0.25">
      <c r="A78" s="48" t="s">
        <v>196</v>
      </c>
      <c r="B78" s="49" t="s">
        <v>197</v>
      </c>
      <c r="C78" s="50">
        <v>71</v>
      </c>
      <c r="D78" s="58">
        <v>50</v>
      </c>
      <c r="E78" s="50">
        <v>57</v>
      </c>
      <c r="F78" s="52">
        <v>10</v>
      </c>
      <c r="G78" s="51">
        <v>30</v>
      </c>
      <c r="H78" s="52">
        <v>21</v>
      </c>
      <c r="I78" s="52">
        <v>51</v>
      </c>
      <c r="J78" s="63">
        <v>31</v>
      </c>
      <c r="K78" s="35">
        <f>(D78+F78+H78+J78)-98</f>
        <v>14</v>
      </c>
      <c r="L78" s="57">
        <f>K78/98</f>
        <v>0.14285714285714285</v>
      </c>
      <c r="M78" s="21" t="s">
        <v>27</v>
      </c>
      <c r="N78" s="16">
        <f>J78/I78-1</f>
        <v>-0.39215686274509809</v>
      </c>
      <c r="O78" s="27"/>
      <c r="P78" s="64" t="s">
        <v>198</v>
      </c>
      <c r="R78" s="219" t="s">
        <v>614</v>
      </c>
      <c r="W78" s="295" t="s">
        <v>688</v>
      </c>
    </row>
    <row r="79" spans="1:23" ht="106.5" customHeight="1" thickBot="1" x14ac:dyDescent="0.25">
      <c r="A79" s="48" t="s">
        <v>199</v>
      </c>
      <c r="B79" s="49" t="s">
        <v>200</v>
      </c>
      <c r="C79" s="50">
        <v>10</v>
      </c>
      <c r="D79" s="58">
        <v>9</v>
      </c>
      <c r="E79" s="50">
        <v>28</v>
      </c>
      <c r="F79" s="52">
        <v>2</v>
      </c>
      <c r="G79" s="51">
        <v>24</v>
      </c>
      <c r="H79" s="52">
        <v>1</v>
      </c>
      <c r="I79" s="52">
        <v>10</v>
      </c>
      <c r="J79" s="53" t="s">
        <v>201</v>
      </c>
      <c r="K79" s="18">
        <f>(D79+F79+H79+8)-50</f>
        <v>-30</v>
      </c>
      <c r="L79" s="39">
        <f>K79/50</f>
        <v>-0.6</v>
      </c>
      <c r="M79" s="21" t="s">
        <v>27</v>
      </c>
      <c r="N79" s="16">
        <f>8/10-1</f>
        <v>-0.19999999999999996</v>
      </c>
      <c r="O79" s="290"/>
      <c r="P79" s="64" t="s">
        <v>202</v>
      </c>
      <c r="R79" s="228"/>
      <c r="W79" s="294" t="s">
        <v>689</v>
      </c>
    </row>
    <row r="80" spans="1:23" ht="98.1" customHeight="1" thickBot="1" x14ac:dyDescent="0.25">
      <c r="A80" s="48" t="s">
        <v>203</v>
      </c>
      <c r="B80" s="49" t="s">
        <v>204</v>
      </c>
      <c r="C80" s="50">
        <v>9</v>
      </c>
      <c r="D80" s="58">
        <v>5</v>
      </c>
      <c r="E80" s="50">
        <v>44</v>
      </c>
      <c r="F80" s="52">
        <v>0</v>
      </c>
      <c r="G80" s="51">
        <v>48</v>
      </c>
      <c r="H80" s="52">
        <v>77</v>
      </c>
      <c r="I80" s="52">
        <v>156</v>
      </c>
      <c r="J80" s="53" t="s">
        <v>205</v>
      </c>
      <c r="K80" s="35">
        <f>(D80+F80+H80+108)-98</f>
        <v>92</v>
      </c>
      <c r="L80" s="57">
        <f>K80/98</f>
        <v>0.93877551020408168</v>
      </c>
      <c r="M80" s="21" t="s">
        <v>27</v>
      </c>
      <c r="N80" s="16">
        <f>108/I80-1</f>
        <v>-0.30769230769230771</v>
      </c>
      <c r="O80" s="290"/>
      <c r="P80" s="64" t="s">
        <v>206</v>
      </c>
      <c r="R80" s="228"/>
      <c r="W80" s="294" t="s">
        <v>690</v>
      </c>
    </row>
    <row r="81" spans="1:23" ht="98.1" customHeight="1" thickBot="1" x14ac:dyDescent="0.25">
      <c r="A81" s="48" t="s">
        <v>207</v>
      </c>
      <c r="B81" s="49" t="s">
        <v>208</v>
      </c>
      <c r="C81" s="50">
        <v>75</v>
      </c>
      <c r="D81" s="58">
        <v>127</v>
      </c>
      <c r="E81" s="50">
        <v>75</v>
      </c>
      <c r="F81" s="52">
        <v>90</v>
      </c>
      <c r="G81" s="51">
        <v>49</v>
      </c>
      <c r="H81" s="52">
        <v>42</v>
      </c>
      <c r="I81" s="52">
        <v>44</v>
      </c>
      <c r="J81" s="53" t="s">
        <v>209</v>
      </c>
      <c r="K81" s="35">
        <f>(D81+F81+H81+63)-300</f>
        <v>22</v>
      </c>
      <c r="L81" s="57">
        <f>K81/300</f>
        <v>7.3333333333333334E-2</v>
      </c>
      <c r="M81" s="21" t="s">
        <v>27</v>
      </c>
      <c r="N81" s="22">
        <f>63/44-1</f>
        <v>0.43181818181818188</v>
      </c>
      <c r="O81" s="290"/>
      <c r="P81" s="64" t="s">
        <v>176</v>
      </c>
      <c r="R81" s="228"/>
    </row>
    <row r="82" spans="1:23" ht="77.099999999999994" customHeight="1" thickBot="1" x14ac:dyDescent="0.25">
      <c r="A82" s="48" t="s">
        <v>210</v>
      </c>
      <c r="B82" s="49" t="s">
        <v>211</v>
      </c>
      <c r="C82" s="50">
        <v>3</v>
      </c>
      <c r="D82" s="58">
        <v>8</v>
      </c>
      <c r="E82" s="50">
        <v>4</v>
      </c>
      <c r="F82" s="52">
        <v>7</v>
      </c>
      <c r="G82" s="51">
        <v>5</v>
      </c>
      <c r="H82" s="52">
        <v>9</v>
      </c>
      <c r="I82" s="52">
        <v>6</v>
      </c>
      <c r="J82" s="63">
        <v>25</v>
      </c>
      <c r="K82" s="35">
        <f>(D82+F82+H82+J82)-18</f>
        <v>31</v>
      </c>
      <c r="L82" s="57">
        <f>K82/18</f>
        <v>1.7222222222222223</v>
      </c>
      <c r="M82" s="21" t="s">
        <v>27</v>
      </c>
      <c r="N82" s="22">
        <f>J82/I82-1</f>
        <v>3.166666666666667</v>
      </c>
      <c r="O82" s="27"/>
      <c r="P82" s="273" t="s">
        <v>38</v>
      </c>
      <c r="R82" s="219" t="s">
        <v>613</v>
      </c>
    </row>
    <row r="83" spans="1:23" ht="90.95" customHeight="1" thickBot="1" x14ac:dyDescent="0.25">
      <c r="A83" s="48" t="s">
        <v>212</v>
      </c>
      <c r="B83" s="49" t="s">
        <v>213</v>
      </c>
      <c r="C83" s="50">
        <v>4</v>
      </c>
      <c r="D83" s="58">
        <v>2</v>
      </c>
      <c r="E83" s="50">
        <v>2</v>
      </c>
      <c r="F83" s="52">
        <v>0</v>
      </c>
      <c r="G83" s="51">
        <v>2</v>
      </c>
      <c r="H83" s="52">
        <v>0</v>
      </c>
      <c r="I83" s="52">
        <v>3</v>
      </c>
      <c r="J83" s="53" t="s">
        <v>214</v>
      </c>
      <c r="K83" s="18">
        <f>(D83+F83+H83+3)-8</f>
        <v>-3</v>
      </c>
      <c r="L83" s="39">
        <f>K83/8</f>
        <v>-0.375</v>
      </c>
      <c r="M83" s="21" t="s">
        <v>27</v>
      </c>
      <c r="N83" s="21" t="s">
        <v>69</v>
      </c>
      <c r="O83" s="290"/>
      <c r="P83" s="273" t="s">
        <v>215</v>
      </c>
      <c r="R83" s="228"/>
      <c r="W83" s="294" t="s">
        <v>691</v>
      </c>
    </row>
    <row r="84" spans="1:23" s="68" customFormat="1" ht="20.45" customHeight="1" x14ac:dyDescent="0.2">
      <c r="A84" s="65"/>
      <c r="B84" s="66"/>
      <c r="C84" s="66"/>
      <c r="D84" s="66"/>
      <c r="E84" s="66"/>
      <c r="F84" s="66"/>
      <c r="G84" s="66"/>
      <c r="H84" s="66"/>
      <c r="I84" s="66"/>
      <c r="J84" s="66"/>
      <c r="K84" s="67"/>
      <c r="L84" s="252"/>
      <c r="M84" s="67"/>
      <c r="N84" s="67"/>
      <c r="O84" s="272"/>
      <c r="P84" s="272"/>
      <c r="R84" s="227"/>
      <c r="U84" s="281"/>
      <c r="W84" s="296"/>
    </row>
    <row r="85" spans="1:23" s="68" customFormat="1" ht="20.45" customHeight="1" thickBot="1" x14ac:dyDescent="0.25">
      <c r="A85" s="336" t="s">
        <v>216</v>
      </c>
      <c r="B85" s="336"/>
      <c r="C85" s="336"/>
      <c r="D85" s="336"/>
      <c r="E85" s="336"/>
      <c r="F85" s="336"/>
      <c r="G85" s="336"/>
      <c r="H85" s="336"/>
      <c r="I85" s="336"/>
      <c r="J85" s="336"/>
      <c r="K85" s="336"/>
      <c r="L85" s="336"/>
      <c r="M85" s="336"/>
      <c r="N85" s="336"/>
      <c r="O85" s="336"/>
      <c r="P85" s="69"/>
      <c r="R85" s="227"/>
      <c r="U85" s="281"/>
      <c r="W85" s="296"/>
    </row>
    <row r="86" spans="1:23" s="68" customFormat="1" ht="20.45" customHeight="1" x14ac:dyDescent="0.2">
      <c r="A86" s="70" t="s">
        <v>217</v>
      </c>
      <c r="B86" s="66"/>
      <c r="C86" s="66"/>
      <c r="D86" s="66"/>
      <c r="E86" s="66"/>
      <c r="F86" s="66"/>
      <c r="G86" s="66"/>
      <c r="H86" s="66"/>
      <c r="I86" s="66"/>
      <c r="J86" s="66"/>
      <c r="K86" s="67"/>
      <c r="L86" s="252"/>
      <c r="M86" s="67"/>
      <c r="N86" s="67"/>
      <c r="O86" s="272"/>
      <c r="P86" s="272"/>
      <c r="R86" s="227"/>
      <c r="U86" s="281"/>
      <c r="W86" s="296"/>
    </row>
    <row r="87" spans="1:23" s="68" customFormat="1" ht="20.45" customHeight="1" x14ac:dyDescent="0.2">
      <c r="A87" s="70" t="s">
        <v>218</v>
      </c>
      <c r="B87" s="66"/>
      <c r="C87" s="66"/>
      <c r="D87" s="66"/>
      <c r="E87" s="66"/>
      <c r="F87" s="66"/>
      <c r="G87" s="66"/>
      <c r="H87" s="66"/>
      <c r="I87" s="66"/>
      <c r="J87" s="66"/>
      <c r="K87" s="67"/>
      <c r="L87" s="252"/>
      <c r="M87" s="67"/>
      <c r="N87" s="67"/>
      <c r="O87" s="272"/>
      <c r="P87" s="272"/>
      <c r="R87" s="227"/>
      <c r="U87" s="281"/>
      <c r="W87" s="296"/>
    </row>
    <row r="88" spans="1:23" s="68" customFormat="1" ht="20.45" customHeight="1" x14ac:dyDescent="0.2">
      <c r="A88" s="70" t="s">
        <v>219</v>
      </c>
      <c r="B88" s="66"/>
      <c r="C88" s="66"/>
      <c r="D88" s="66"/>
      <c r="E88" s="66"/>
      <c r="F88" s="66"/>
      <c r="G88" s="66"/>
      <c r="H88" s="66"/>
      <c r="I88" s="66"/>
      <c r="J88" s="66"/>
      <c r="K88" s="67"/>
      <c r="L88" s="252"/>
      <c r="M88" s="67"/>
      <c r="N88" s="67"/>
      <c r="O88" s="272"/>
      <c r="P88" s="272"/>
      <c r="R88" s="227"/>
      <c r="U88" s="281"/>
      <c r="W88" s="296"/>
    </row>
    <row r="89" spans="1:23" s="68" customFormat="1" ht="20.45" customHeight="1" x14ac:dyDescent="0.2">
      <c r="A89" s="70" t="s">
        <v>220</v>
      </c>
      <c r="B89" s="66"/>
      <c r="C89" s="66"/>
      <c r="D89" s="66"/>
      <c r="E89" s="66"/>
      <c r="F89" s="66"/>
      <c r="G89" s="66"/>
      <c r="H89" s="66"/>
      <c r="I89" s="66"/>
      <c r="J89" s="66"/>
      <c r="K89" s="67"/>
      <c r="L89" s="252"/>
      <c r="M89" s="67"/>
      <c r="N89" s="67"/>
      <c r="O89" s="272"/>
      <c r="P89" s="272"/>
      <c r="R89" s="227"/>
      <c r="U89" s="281"/>
      <c r="W89" s="296"/>
    </row>
    <row r="90" spans="1:23" s="68" customFormat="1" ht="20.45" customHeight="1" x14ac:dyDescent="0.2">
      <c r="A90" s="70" t="s">
        <v>221</v>
      </c>
      <c r="B90" s="66"/>
      <c r="C90" s="66"/>
      <c r="D90" s="66"/>
      <c r="E90" s="66"/>
      <c r="F90" s="66"/>
      <c r="G90" s="66"/>
      <c r="H90" s="66"/>
      <c r="I90" s="66"/>
      <c r="J90" s="66"/>
      <c r="K90" s="67"/>
      <c r="L90" s="252"/>
      <c r="M90" s="67"/>
      <c r="N90" s="67"/>
      <c r="O90" s="272"/>
      <c r="P90" s="272"/>
      <c r="R90" s="227"/>
      <c r="U90" s="281"/>
      <c r="W90" s="296"/>
    </row>
    <row r="91" spans="1:23" s="68" customFormat="1" ht="20.45" customHeight="1" x14ac:dyDescent="0.2">
      <c r="A91" s="336" t="s">
        <v>222</v>
      </c>
      <c r="B91" s="336"/>
      <c r="C91" s="336"/>
      <c r="D91" s="336"/>
      <c r="E91" s="336"/>
      <c r="F91" s="336"/>
      <c r="G91" s="336"/>
      <c r="H91" s="336"/>
      <c r="I91" s="336"/>
      <c r="J91" s="336"/>
      <c r="K91" s="336"/>
      <c r="L91" s="336"/>
      <c r="M91" s="336"/>
      <c r="N91" s="336"/>
      <c r="O91" s="336"/>
      <c r="P91" s="272"/>
      <c r="R91" s="227"/>
      <c r="U91" s="281"/>
      <c r="W91" s="296"/>
    </row>
    <row r="92" spans="1:23" s="68" customFormat="1" ht="20.45" customHeight="1" x14ac:dyDescent="0.2">
      <c r="A92" s="336" t="s">
        <v>223</v>
      </c>
      <c r="B92" s="336"/>
      <c r="C92" s="336"/>
      <c r="D92" s="336"/>
      <c r="E92" s="336"/>
      <c r="F92" s="336"/>
      <c r="G92" s="336"/>
      <c r="H92" s="336"/>
      <c r="I92" s="336"/>
      <c r="J92" s="336"/>
      <c r="K92" s="336"/>
      <c r="L92" s="336"/>
      <c r="M92" s="336"/>
      <c r="N92" s="336"/>
      <c r="O92" s="336"/>
      <c r="P92" s="272"/>
      <c r="R92" s="227"/>
      <c r="U92" s="281"/>
      <c r="W92" s="296"/>
    </row>
    <row r="93" spans="1:23" s="68" customFormat="1" ht="20.45" customHeight="1" x14ac:dyDescent="0.2">
      <c r="A93" s="70" t="s">
        <v>224</v>
      </c>
      <c r="B93" s="66"/>
      <c r="C93" s="66"/>
      <c r="D93" s="66"/>
      <c r="E93" s="66"/>
      <c r="F93" s="66"/>
      <c r="G93" s="66"/>
      <c r="H93" s="66"/>
      <c r="I93" s="66"/>
      <c r="J93" s="66"/>
      <c r="K93" s="67"/>
      <c r="L93" s="252"/>
      <c r="M93" s="67"/>
      <c r="N93" s="67"/>
      <c r="O93" s="272"/>
      <c r="P93" s="272"/>
      <c r="R93" s="227"/>
      <c r="U93" s="281"/>
      <c r="W93" s="296"/>
    </row>
    <row r="94" spans="1:23" s="68" customFormat="1" ht="20.45" customHeight="1" x14ac:dyDescent="0.2">
      <c r="A94" s="70" t="s">
        <v>225</v>
      </c>
      <c r="B94" s="66"/>
      <c r="C94" s="66"/>
      <c r="D94" s="66"/>
      <c r="E94" s="66"/>
      <c r="F94" s="66"/>
      <c r="G94" s="66"/>
      <c r="H94" s="66"/>
      <c r="I94" s="66"/>
      <c r="J94" s="66"/>
      <c r="K94" s="67"/>
      <c r="L94" s="252"/>
      <c r="M94" s="67"/>
      <c r="N94" s="67"/>
      <c r="O94" s="272"/>
      <c r="P94" s="272"/>
      <c r="R94" s="227"/>
      <c r="U94" s="281"/>
      <c r="W94" s="296"/>
    </row>
    <row r="95" spans="1:23" s="68" customFormat="1" ht="20.45" customHeight="1" x14ac:dyDescent="0.2">
      <c r="A95" s="70" t="s">
        <v>226</v>
      </c>
      <c r="B95" s="66"/>
      <c r="C95" s="66"/>
      <c r="D95" s="66"/>
      <c r="E95" s="66"/>
      <c r="F95" s="66"/>
      <c r="G95" s="66"/>
      <c r="H95" s="66"/>
      <c r="I95" s="66"/>
      <c r="J95" s="66"/>
      <c r="K95" s="67"/>
      <c r="L95" s="252"/>
      <c r="M95" s="67"/>
      <c r="N95" s="67"/>
      <c r="O95" s="272"/>
      <c r="P95" s="272"/>
      <c r="R95" s="227"/>
      <c r="U95" s="281"/>
      <c r="W95" s="296"/>
    </row>
    <row r="96" spans="1:23" s="68" customFormat="1" ht="20.45" customHeight="1" x14ac:dyDescent="0.2">
      <c r="A96" s="70" t="s">
        <v>227</v>
      </c>
      <c r="B96" s="66"/>
      <c r="C96" s="66"/>
      <c r="D96" s="66"/>
      <c r="E96" s="66"/>
      <c r="F96" s="66"/>
      <c r="G96" s="66"/>
      <c r="H96" s="66"/>
      <c r="I96" s="66"/>
      <c r="J96" s="66"/>
      <c r="K96" s="67"/>
      <c r="L96" s="252"/>
      <c r="M96" s="67"/>
      <c r="N96" s="67"/>
      <c r="O96" s="272"/>
      <c r="P96" s="272"/>
      <c r="R96" s="227"/>
      <c r="U96" s="281"/>
      <c r="W96" s="296"/>
    </row>
    <row r="97" spans="1:23" s="68" customFormat="1" ht="20.45" customHeight="1" x14ac:dyDescent="0.2">
      <c r="A97" s="70" t="s">
        <v>228</v>
      </c>
      <c r="B97" s="66"/>
      <c r="C97" s="66"/>
      <c r="D97" s="66"/>
      <c r="E97" s="66"/>
      <c r="F97" s="66"/>
      <c r="G97" s="66"/>
      <c r="H97" s="66"/>
      <c r="I97" s="66"/>
      <c r="J97" s="66"/>
      <c r="K97" s="67"/>
      <c r="L97" s="252"/>
      <c r="M97" s="67"/>
      <c r="N97" s="67"/>
      <c r="O97" s="272"/>
      <c r="P97" s="272"/>
      <c r="R97" s="227"/>
      <c r="U97" s="281"/>
      <c r="W97" s="296"/>
    </row>
    <row r="98" spans="1:23" s="68" customFormat="1" ht="20.45" customHeight="1" x14ac:dyDescent="0.2">
      <c r="A98" s="70" t="s">
        <v>229</v>
      </c>
      <c r="B98" s="66"/>
      <c r="C98" s="66"/>
      <c r="D98" s="66"/>
      <c r="E98" s="66"/>
      <c r="F98" s="66"/>
      <c r="G98" s="66"/>
      <c r="H98" s="66"/>
      <c r="I98" s="66"/>
      <c r="J98" s="66"/>
      <c r="K98" s="67"/>
      <c r="L98" s="252"/>
      <c r="M98" s="67"/>
      <c r="N98" s="67"/>
      <c r="O98" s="272"/>
      <c r="P98" s="272"/>
      <c r="R98" s="227"/>
      <c r="U98" s="281"/>
      <c r="W98" s="296"/>
    </row>
    <row r="99" spans="1:23" s="68" customFormat="1" ht="20.45" customHeight="1" x14ac:dyDescent="0.2">
      <c r="A99" s="70" t="s">
        <v>230</v>
      </c>
      <c r="B99" s="66"/>
      <c r="C99" s="66"/>
      <c r="D99" s="66"/>
      <c r="E99" s="66"/>
      <c r="F99" s="66"/>
      <c r="G99" s="66"/>
      <c r="H99" s="66"/>
      <c r="I99" s="66"/>
      <c r="J99" s="66"/>
      <c r="K99" s="67"/>
      <c r="L99" s="252"/>
      <c r="M99" s="67"/>
      <c r="N99" s="67"/>
      <c r="O99" s="272"/>
      <c r="P99" s="272"/>
      <c r="R99" s="227"/>
      <c r="U99" s="281"/>
      <c r="W99" s="296"/>
    </row>
    <row r="100" spans="1:23" s="68" customFormat="1" ht="20.45" customHeight="1" x14ac:dyDescent="0.2">
      <c r="A100" s="70" t="s">
        <v>231</v>
      </c>
      <c r="B100" s="66"/>
      <c r="C100" s="66"/>
      <c r="D100" s="66"/>
      <c r="E100" s="66"/>
      <c r="F100" s="66"/>
      <c r="G100" s="66"/>
      <c r="H100" s="66"/>
      <c r="I100" s="66"/>
      <c r="J100" s="66"/>
      <c r="K100" s="67"/>
      <c r="L100" s="252"/>
      <c r="M100" s="67"/>
      <c r="N100" s="67"/>
      <c r="O100" s="272"/>
      <c r="P100" s="272"/>
      <c r="R100" s="227"/>
      <c r="U100" s="281"/>
      <c r="W100" s="296"/>
    </row>
    <row r="101" spans="1:23" s="68" customFormat="1" ht="20.45" customHeight="1" x14ac:dyDescent="0.2">
      <c r="A101" s="70" t="s">
        <v>232</v>
      </c>
      <c r="B101" s="66"/>
      <c r="C101" s="66"/>
      <c r="D101" s="66"/>
      <c r="E101" s="66"/>
      <c r="F101" s="66"/>
      <c r="G101" s="66"/>
      <c r="H101" s="66"/>
      <c r="I101" s="66"/>
      <c r="J101" s="66"/>
      <c r="K101" s="67"/>
      <c r="L101" s="252"/>
      <c r="M101" s="67"/>
      <c r="N101" s="67"/>
      <c r="O101" s="272"/>
      <c r="P101" s="272"/>
      <c r="R101" s="227"/>
      <c r="U101" s="281"/>
      <c r="W101" s="296"/>
    </row>
    <row r="102" spans="1:23" s="68" customFormat="1" ht="20.45" customHeight="1" x14ac:dyDescent="0.2">
      <c r="A102" s="336" t="s">
        <v>233</v>
      </c>
      <c r="B102" s="336"/>
      <c r="C102" s="336"/>
      <c r="D102" s="336"/>
      <c r="E102" s="336"/>
      <c r="F102" s="336"/>
      <c r="G102" s="336"/>
      <c r="H102" s="336"/>
      <c r="I102" s="336"/>
      <c r="J102" s="336"/>
      <c r="K102" s="336"/>
      <c r="L102" s="336"/>
      <c r="M102" s="336"/>
      <c r="N102" s="336"/>
      <c r="O102" s="336"/>
      <c r="P102" s="272"/>
      <c r="R102" s="227"/>
      <c r="U102" s="281"/>
      <c r="W102" s="296"/>
    </row>
    <row r="103" spans="1:23" s="68" customFormat="1" ht="20.45" customHeight="1" x14ac:dyDescent="0.2">
      <c r="A103" s="70" t="s">
        <v>234</v>
      </c>
      <c r="B103" s="66"/>
      <c r="C103" s="66"/>
      <c r="D103" s="66"/>
      <c r="E103" s="66"/>
      <c r="F103" s="66"/>
      <c r="G103" s="66"/>
      <c r="H103" s="66"/>
      <c r="I103" s="66"/>
      <c r="J103" s="66"/>
      <c r="K103" s="67"/>
      <c r="L103" s="252"/>
      <c r="M103" s="67"/>
      <c r="N103" s="67"/>
      <c r="O103" s="272"/>
      <c r="P103" s="272"/>
      <c r="R103" s="227"/>
      <c r="U103" s="281"/>
      <c r="W103" s="296"/>
    </row>
    <row r="104" spans="1:23" s="68" customFormat="1" ht="20.45" customHeight="1" x14ac:dyDescent="0.2">
      <c r="A104" s="70" t="s">
        <v>235</v>
      </c>
      <c r="B104" s="66"/>
      <c r="C104" s="66"/>
      <c r="D104" s="66"/>
      <c r="E104" s="66"/>
      <c r="F104" s="66"/>
      <c r="G104" s="66"/>
      <c r="H104" s="66"/>
      <c r="I104" s="66"/>
      <c r="J104" s="66"/>
      <c r="K104" s="67"/>
      <c r="L104" s="252"/>
      <c r="M104" s="67"/>
      <c r="N104" s="67"/>
      <c r="O104" s="272"/>
      <c r="P104" s="272"/>
      <c r="R104" s="227"/>
      <c r="U104" s="281"/>
      <c r="W104" s="296"/>
    </row>
    <row r="105" spans="1:23" s="68" customFormat="1" ht="20.45" customHeight="1" x14ac:dyDescent="0.2">
      <c r="A105" s="308" t="s">
        <v>0</v>
      </c>
      <c r="B105" s="308"/>
      <c r="C105" s="308"/>
      <c r="D105" s="308"/>
      <c r="E105" s="308"/>
      <c r="F105" s="308"/>
      <c r="G105" s="308"/>
      <c r="H105" s="308"/>
      <c r="I105" s="308"/>
      <c r="J105" s="308"/>
      <c r="K105" s="308"/>
      <c r="L105" s="308"/>
      <c r="M105" s="308"/>
      <c r="N105" s="308"/>
      <c r="O105" s="308"/>
      <c r="P105" s="308"/>
      <c r="R105" s="227"/>
      <c r="U105" s="281"/>
      <c r="W105" s="296"/>
    </row>
    <row r="106" spans="1:23" ht="50.45" customHeight="1" thickBot="1" x14ac:dyDescent="0.25">
      <c r="A106" s="308" t="s">
        <v>236</v>
      </c>
      <c r="B106" s="308"/>
      <c r="C106" s="308"/>
      <c r="D106" s="308"/>
      <c r="E106" s="308"/>
      <c r="F106" s="308"/>
      <c r="G106" s="308"/>
      <c r="H106" s="308"/>
      <c r="I106" s="308"/>
      <c r="J106" s="308"/>
      <c r="K106" s="308"/>
      <c r="L106" s="308"/>
      <c r="M106" s="308"/>
      <c r="N106" s="47"/>
    </row>
    <row r="107" spans="1:23" ht="27.6" customHeight="1" thickBot="1" x14ac:dyDescent="0.25">
      <c r="A107" s="310" t="s">
        <v>2</v>
      </c>
      <c r="B107" s="311"/>
      <c r="C107" s="311"/>
      <c r="D107" s="311"/>
      <c r="E107" s="311"/>
      <c r="F107" s="311"/>
      <c r="G107" s="311"/>
      <c r="H107" s="311"/>
      <c r="I107" s="311"/>
      <c r="J107" s="312"/>
      <c r="K107" s="334" t="s">
        <v>3</v>
      </c>
      <c r="L107" s="335"/>
      <c r="M107" s="335"/>
      <c r="N107" s="335"/>
      <c r="O107" s="335"/>
      <c r="P107" s="335"/>
      <c r="R107" s="266" t="s">
        <v>654</v>
      </c>
      <c r="U107" s="278"/>
      <c r="W107" s="305" t="s">
        <v>679</v>
      </c>
    </row>
    <row r="108" spans="1:23" ht="28.5" customHeight="1" thickBot="1" x14ac:dyDescent="0.25">
      <c r="A108" s="337" t="s">
        <v>4</v>
      </c>
      <c r="B108" s="71" t="s">
        <v>5</v>
      </c>
      <c r="C108" s="340" t="s">
        <v>6</v>
      </c>
      <c r="D108" s="341"/>
      <c r="E108" s="340" t="s">
        <v>6</v>
      </c>
      <c r="F108" s="341"/>
      <c r="G108" s="340" t="s">
        <v>6</v>
      </c>
      <c r="H108" s="341"/>
      <c r="I108" s="340" t="s">
        <v>6</v>
      </c>
      <c r="J108" s="341"/>
      <c r="K108" s="321" t="s">
        <v>7</v>
      </c>
      <c r="L108" s="322"/>
      <c r="M108" s="321" t="s">
        <v>8</v>
      </c>
      <c r="N108" s="323"/>
      <c r="O108" s="324" t="s">
        <v>9</v>
      </c>
      <c r="P108" s="327" t="s">
        <v>10</v>
      </c>
      <c r="R108" s="306" t="s">
        <v>607</v>
      </c>
      <c r="U108" s="279"/>
      <c r="W108" s="305"/>
    </row>
    <row r="109" spans="1:23" ht="28.5" customHeight="1" thickBot="1" x14ac:dyDescent="0.25">
      <c r="A109" s="338"/>
      <c r="B109" s="338" t="s">
        <v>11</v>
      </c>
      <c r="C109" s="343" t="s">
        <v>12</v>
      </c>
      <c r="D109" s="344"/>
      <c r="E109" s="343" t="s">
        <v>13</v>
      </c>
      <c r="F109" s="344"/>
      <c r="G109" s="343" t="s">
        <v>14</v>
      </c>
      <c r="H109" s="344"/>
      <c r="I109" s="343" t="s">
        <v>15</v>
      </c>
      <c r="J109" s="344"/>
      <c r="K109" s="321" t="s">
        <v>16</v>
      </c>
      <c r="L109" s="322"/>
      <c r="M109" s="321" t="s">
        <v>17</v>
      </c>
      <c r="N109" s="322"/>
      <c r="O109" s="325"/>
      <c r="P109" s="328"/>
      <c r="R109" s="306"/>
      <c r="U109" s="279"/>
      <c r="W109" s="305"/>
    </row>
    <row r="110" spans="1:23" ht="28.5" customHeight="1" thickBot="1" x14ac:dyDescent="0.25">
      <c r="A110" s="339"/>
      <c r="B110" s="339"/>
      <c r="C110" s="72" t="s">
        <v>18</v>
      </c>
      <c r="D110" s="72" t="s">
        <v>19</v>
      </c>
      <c r="E110" s="72" t="s">
        <v>18</v>
      </c>
      <c r="F110" s="72" t="s">
        <v>19</v>
      </c>
      <c r="G110" s="72" t="s">
        <v>18</v>
      </c>
      <c r="H110" s="72" t="s">
        <v>19</v>
      </c>
      <c r="I110" s="72" t="s">
        <v>18</v>
      </c>
      <c r="J110" s="72" t="s">
        <v>19</v>
      </c>
      <c r="K110" s="5" t="s">
        <v>20</v>
      </c>
      <c r="L110" s="248" t="s">
        <v>21</v>
      </c>
      <c r="M110" s="6" t="s">
        <v>22</v>
      </c>
      <c r="N110" s="7" t="s">
        <v>23</v>
      </c>
      <c r="O110" s="326"/>
      <c r="P110" s="326"/>
      <c r="R110" s="307"/>
      <c r="U110" s="279"/>
      <c r="W110" s="305"/>
    </row>
    <row r="111" spans="1:23" ht="71.099999999999994" customHeight="1" thickBot="1" x14ac:dyDescent="0.25">
      <c r="A111" s="73" t="s">
        <v>237</v>
      </c>
      <c r="B111" s="74" t="s">
        <v>238</v>
      </c>
      <c r="C111" s="51">
        <v>10</v>
      </c>
      <c r="D111" s="51">
        <v>2</v>
      </c>
      <c r="E111" s="51">
        <v>15</v>
      </c>
      <c r="F111" s="51">
        <v>5</v>
      </c>
      <c r="G111" s="51">
        <v>15</v>
      </c>
      <c r="H111" s="51">
        <v>42</v>
      </c>
      <c r="I111" s="51">
        <v>15</v>
      </c>
      <c r="J111" s="63">
        <v>8</v>
      </c>
      <c r="K111" s="35">
        <f>(D111+F111+H111+J111)-45</f>
        <v>12</v>
      </c>
      <c r="L111" s="57">
        <f>K111/45</f>
        <v>0.26666666666666666</v>
      </c>
      <c r="M111" s="20" t="s">
        <v>31</v>
      </c>
      <c r="N111" s="16">
        <f>J111/I111-1</f>
        <v>-0.46666666666666667</v>
      </c>
      <c r="O111" s="290"/>
      <c r="P111" s="75" t="s">
        <v>239</v>
      </c>
      <c r="R111" s="228"/>
      <c r="W111" s="294" t="s">
        <v>692</v>
      </c>
    </row>
    <row r="112" spans="1:23" ht="93.95" customHeight="1" thickBot="1" x14ac:dyDescent="0.25">
      <c r="A112" s="76" t="s">
        <v>240</v>
      </c>
      <c r="B112" s="74" t="s">
        <v>241</v>
      </c>
      <c r="C112" s="51">
        <v>20</v>
      </c>
      <c r="D112" s="51">
        <v>4</v>
      </c>
      <c r="E112" s="51">
        <v>20</v>
      </c>
      <c r="F112" s="51">
        <v>2</v>
      </c>
      <c r="G112" s="51">
        <v>10</v>
      </c>
      <c r="H112" s="51">
        <v>0</v>
      </c>
      <c r="I112" s="51">
        <v>10</v>
      </c>
      <c r="J112" s="53" t="s">
        <v>242</v>
      </c>
      <c r="K112" s="18">
        <f>(D112+F112+H112+0)-26</f>
        <v>-20</v>
      </c>
      <c r="L112" s="39">
        <f>K112/26</f>
        <v>-0.76923076923076927</v>
      </c>
      <c r="M112" s="20" t="s">
        <v>92</v>
      </c>
      <c r="N112" s="19">
        <f>0/10-1</f>
        <v>-1</v>
      </c>
      <c r="O112" s="290"/>
      <c r="P112" s="276" t="s">
        <v>243</v>
      </c>
      <c r="R112" s="232" t="s">
        <v>615</v>
      </c>
      <c r="W112" s="294" t="s">
        <v>693</v>
      </c>
    </row>
    <row r="113" spans="1:23" ht="71.099999999999994" customHeight="1" thickBot="1" x14ac:dyDescent="0.25">
      <c r="A113" s="48" t="s">
        <v>244</v>
      </c>
      <c r="B113" s="49" t="s">
        <v>245</v>
      </c>
      <c r="C113" s="54">
        <v>330000</v>
      </c>
      <c r="D113" s="50">
        <v>0</v>
      </c>
      <c r="E113" s="55">
        <v>330000</v>
      </c>
      <c r="F113" s="55">
        <v>198589</v>
      </c>
      <c r="G113" s="56">
        <v>330000</v>
      </c>
      <c r="H113" s="56">
        <v>310350</v>
      </c>
      <c r="I113" s="56">
        <v>330000</v>
      </c>
      <c r="J113" s="53" t="s">
        <v>647</v>
      </c>
      <c r="K113" s="35">
        <f>335072-330000</f>
        <v>5072</v>
      </c>
      <c r="L113" s="57">
        <f>K113/330000</f>
        <v>1.5369696969696969E-2</v>
      </c>
      <c r="M113" s="21" t="s">
        <v>27</v>
      </c>
      <c r="N113" s="57">
        <f>335072/I113-1</f>
        <v>1.5369696969697033E-2</v>
      </c>
      <c r="O113" s="290"/>
      <c r="P113" s="276" t="s">
        <v>246</v>
      </c>
      <c r="R113" s="232" t="s">
        <v>616</v>
      </c>
    </row>
    <row r="114" spans="1:23" ht="23.45" customHeight="1" x14ac:dyDescent="0.2">
      <c r="A114" s="77"/>
      <c r="B114" s="78"/>
      <c r="C114" s="79"/>
      <c r="D114" s="80"/>
      <c r="E114" s="81"/>
      <c r="F114" s="81"/>
      <c r="G114" s="82"/>
      <c r="H114" s="82"/>
      <c r="I114" s="82"/>
      <c r="J114" s="83"/>
      <c r="K114" s="84"/>
      <c r="L114" s="253"/>
    </row>
    <row r="115" spans="1:23" ht="27.6" customHeight="1" x14ac:dyDescent="0.2">
      <c r="A115" s="342" t="s">
        <v>247</v>
      </c>
      <c r="B115" s="342"/>
      <c r="C115" s="342"/>
      <c r="D115" s="342"/>
      <c r="E115" s="342"/>
      <c r="F115" s="342"/>
      <c r="G115" s="342"/>
      <c r="H115" s="342"/>
      <c r="I115" s="342"/>
      <c r="J115" s="342"/>
      <c r="K115" s="342"/>
      <c r="L115" s="342"/>
      <c r="M115" s="342"/>
      <c r="N115" s="85"/>
    </row>
    <row r="116" spans="1:23" ht="50.45" customHeight="1" x14ac:dyDescent="0.2">
      <c r="A116" s="342" t="s">
        <v>248</v>
      </c>
      <c r="B116" s="342"/>
      <c r="C116" s="342"/>
      <c r="D116" s="342"/>
      <c r="E116" s="342"/>
      <c r="F116" s="342"/>
      <c r="G116" s="342"/>
      <c r="H116" s="342"/>
      <c r="I116" s="342"/>
      <c r="J116" s="342"/>
      <c r="K116" s="342"/>
      <c r="L116" s="342"/>
      <c r="M116" s="342"/>
      <c r="N116" s="85"/>
    </row>
    <row r="117" spans="1:23" ht="37.5" customHeight="1" x14ac:dyDescent="0.2">
      <c r="A117" s="342" t="s">
        <v>249</v>
      </c>
      <c r="B117" s="342"/>
      <c r="C117" s="342"/>
      <c r="D117" s="342"/>
      <c r="E117" s="342"/>
      <c r="F117" s="342"/>
      <c r="G117" s="342"/>
      <c r="H117" s="342"/>
      <c r="I117" s="342"/>
      <c r="J117" s="342"/>
      <c r="K117" s="342"/>
      <c r="L117" s="342"/>
      <c r="M117" s="342"/>
      <c r="N117" s="85"/>
    </row>
    <row r="118" spans="1:23" ht="23.1" customHeight="1" x14ac:dyDescent="0.2">
      <c r="A118" s="308" t="s">
        <v>0</v>
      </c>
      <c r="B118" s="308"/>
      <c r="C118" s="308"/>
      <c r="D118" s="308"/>
      <c r="E118" s="308"/>
      <c r="F118" s="308"/>
      <c r="G118" s="308"/>
      <c r="H118" s="308"/>
      <c r="I118" s="308"/>
      <c r="J118" s="308"/>
      <c r="K118" s="308"/>
      <c r="L118" s="308"/>
      <c r="M118" s="308"/>
      <c r="N118" s="308"/>
      <c r="O118" s="308"/>
      <c r="P118" s="308"/>
    </row>
    <row r="119" spans="1:23" ht="50.45" customHeight="1" thickBot="1" x14ac:dyDescent="0.25">
      <c r="A119" s="308" t="s">
        <v>250</v>
      </c>
      <c r="B119" s="308"/>
      <c r="C119" s="308"/>
      <c r="D119" s="308"/>
      <c r="E119" s="308"/>
      <c r="F119" s="308"/>
      <c r="G119" s="308"/>
      <c r="H119" s="308"/>
      <c r="I119" s="308"/>
      <c r="J119" s="308"/>
      <c r="K119" s="308"/>
      <c r="L119" s="308"/>
      <c r="M119" s="308"/>
      <c r="N119" s="47"/>
    </row>
    <row r="120" spans="1:23" ht="24.95" customHeight="1" thickBot="1" x14ac:dyDescent="0.25">
      <c r="A120" s="310" t="s">
        <v>2</v>
      </c>
      <c r="B120" s="311"/>
      <c r="C120" s="311"/>
      <c r="D120" s="311"/>
      <c r="E120" s="311"/>
      <c r="F120" s="311"/>
      <c r="G120" s="311"/>
      <c r="H120" s="311"/>
      <c r="I120" s="311"/>
      <c r="J120" s="312"/>
      <c r="K120" s="334" t="s">
        <v>3</v>
      </c>
      <c r="L120" s="335"/>
      <c r="M120" s="335"/>
      <c r="N120" s="335"/>
      <c r="O120" s="335"/>
      <c r="P120" s="335"/>
      <c r="Q120" s="86"/>
      <c r="R120" s="266" t="s">
        <v>654</v>
      </c>
      <c r="U120" s="278"/>
      <c r="W120" s="305" t="s">
        <v>679</v>
      </c>
    </row>
    <row r="121" spans="1:23" ht="29.45" customHeight="1" thickBot="1" x14ac:dyDescent="0.25">
      <c r="A121" s="337" t="s">
        <v>4</v>
      </c>
      <c r="B121" s="71" t="s">
        <v>5</v>
      </c>
      <c r="C121" s="340" t="s">
        <v>6</v>
      </c>
      <c r="D121" s="341"/>
      <c r="E121" s="340" t="s">
        <v>6</v>
      </c>
      <c r="F121" s="341"/>
      <c r="G121" s="340" t="s">
        <v>6</v>
      </c>
      <c r="H121" s="341"/>
      <c r="I121" s="340" t="s">
        <v>6</v>
      </c>
      <c r="J121" s="341"/>
      <c r="K121" s="321" t="s">
        <v>7</v>
      </c>
      <c r="L121" s="322"/>
      <c r="M121" s="321" t="s">
        <v>8</v>
      </c>
      <c r="N121" s="323"/>
      <c r="O121" s="324" t="s">
        <v>9</v>
      </c>
      <c r="P121" s="327" t="s">
        <v>10</v>
      </c>
      <c r="R121" s="306" t="s">
        <v>607</v>
      </c>
      <c r="U121" s="279"/>
      <c r="W121" s="305"/>
    </row>
    <row r="122" spans="1:23" ht="29.45" customHeight="1" thickBot="1" x14ac:dyDescent="0.25">
      <c r="A122" s="338"/>
      <c r="B122" s="338" t="s">
        <v>11</v>
      </c>
      <c r="C122" s="343" t="s">
        <v>12</v>
      </c>
      <c r="D122" s="344"/>
      <c r="E122" s="343" t="s">
        <v>13</v>
      </c>
      <c r="F122" s="344"/>
      <c r="G122" s="343" t="s">
        <v>14</v>
      </c>
      <c r="H122" s="344"/>
      <c r="I122" s="343" t="s">
        <v>15</v>
      </c>
      <c r="J122" s="344"/>
      <c r="K122" s="321" t="s">
        <v>16</v>
      </c>
      <c r="L122" s="322"/>
      <c r="M122" s="321" t="s">
        <v>17</v>
      </c>
      <c r="N122" s="322"/>
      <c r="O122" s="325"/>
      <c r="P122" s="328"/>
      <c r="R122" s="306"/>
      <c r="U122" s="279"/>
      <c r="W122" s="305"/>
    </row>
    <row r="123" spans="1:23" ht="29.45" customHeight="1" thickBot="1" x14ac:dyDescent="0.25">
      <c r="A123" s="339"/>
      <c r="B123" s="339"/>
      <c r="C123" s="72" t="s">
        <v>18</v>
      </c>
      <c r="D123" s="87" t="s">
        <v>19</v>
      </c>
      <c r="E123" s="72" t="s">
        <v>18</v>
      </c>
      <c r="F123" s="72" t="s">
        <v>19</v>
      </c>
      <c r="G123" s="72" t="s">
        <v>18</v>
      </c>
      <c r="H123" s="72" t="s">
        <v>19</v>
      </c>
      <c r="I123" s="72" t="s">
        <v>18</v>
      </c>
      <c r="J123" s="72" t="s">
        <v>19</v>
      </c>
      <c r="K123" s="5" t="s">
        <v>20</v>
      </c>
      <c r="L123" s="248" t="s">
        <v>21</v>
      </c>
      <c r="M123" s="6" t="s">
        <v>22</v>
      </c>
      <c r="N123" s="7" t="s">
        <v>23</v>
      </c>
      <c r="O123" s="326"/>
      <c r="P123" s="326"/>
      <c r="R123" s="307"/>
      <c r="U123" s="279"/>
      <c r="W123" s="305"/>
    </row>
    <row r="124" spans="1:23" ht="50.45" customHeight="1" thickBot="1" x14ac:dyDescent="0.25">
      <c r="A124" s="88" t="s">
        <v>251</v>
      </c>
      <c r="B124" s="89" t="s">
        <v>252</v>
      </c>
      <c r="C124" s="90">
        <v>0.625</v>
      </c>
      <c r="D124" s="90">
        <v>0.50519999999999998</v>
      </c>
      <c r="E124" s="90">
        <v>0.65</v>
      </c>
      <c r="F124" s="91">
        <v>0.43480000000000002</v>
      </c>
      <c r="G124" s="91">
        <v>0.67500000000000004</v>
      </c>
      <c r="H124" s="58">
        <v>53.38</v>
      </c>
      <c r="I124" s="92">
        <v>0.42</v>
      </c>
      <c r="J124" s="93" t="s">
        <v>253</v>
      </c>
      <c r="K124" s="94" t="s">
        <v>254</v>
      </c>
      <c r="L124" s="254"/>
      <c r="M124" s="20" t="s">
        <v>31</v>
      </c>
      <c r="N124" s="95" t="s">
        <v>255</v>
      </c>
      <c r="O124" s="290"/>
      <c r="P124" s="96" t="s">
        <v>256</v>
      </c>
      <c r="R124" s="228"/>
      <c r="W124" s="294" t="s">
        <v>694</v>
      </c>
    </row>
    <row r="125" spans="1:23" ht="50.45" customHeight="1" thickBot="1" x14ac:dyDescent="0.25">
      <c r="A125" s="48" t="s">
        <v>257</v>
      </c>
      <c r="B125" s="49" t="s">
        <v>258</v>
      </c>
      <c r="C125" s="97">
        <v>1</v>
      </c>
      <c r="D125" s="98">
        <v>1</v>
      </c>
      <c r="E125" s="97">
        <v>1</v>
      </c>
      <c r="F125" s="91">
        <v>0.93179999999999996</v>
      </c>
      <c r="G125" s="92">
        <v>1</v>
      </c>
      <c r="H125" s="92">
        <v>1</v>
      </c>
      <c r="I125" s="92">
        <v>1</v>
      </c>
      <c r="J125" s="93" t="s">
        <v>259</v>
      </c>
      <c r="K125" s="99" t="s">
        <v>260</v>
      </c>
      <c r="L125" s="254"/>
      <c r="M125" s="20" t="s">
        <v>31</v>
      </c>
      <c r="N125" s="95" t="s">
        <v>261</v>
      </c>
      <c r="O125" s="290"/>
      <c r="P125" s="100" t="s">
        <v>256</v>
      </c>
      <c r="R125" s="228"/>
      <c r="W125" s="295" t="s">
        <v>695</v>
      </c>
    </row>
    <row r="126" spans="1:23" ht="50.45" customHeight="1" thickBot="1" x14ac:dyDescent="0.25">
      <c r="A126" s="48" t="s">
        <v>262</v>
      </c>
      <c r="B126" s="49" t="s">
        <v>263</v>
      </c>
      <c r="C126" s="98">
        <v>0.73</v>
      </c>
      <c r="D126" s="90">
        <v>0.67100000000000004</v>
      </c>
      <c r="E126" s="97">
        <v>0.74</v>
      </c>
      <c r="F126" s="97">
        <v>0.67</v>
      </c>
      <c r="G126" s="101">
        <v>0.75</v>
      </c>
      <c r="H126" s="102">
        <v>0.68700000000000006</v>
      </c>
      <c r="I126" s="97">
        <v>0.76</v>
      </c>
      <c r="J126" s="53" t="s">
        <v>264</v>
      </c>
      <c r="K126" s="99" t="s">
        <v>265</v>
      </c>
      <c r="L126" s="254"/>
      <c r="M126" s="20" t="s">
        <v>31</v>
      </c>
      <c r="N126" s="95" t="s">
        <v>266</v>
      </c>
      <c r="O126" s="290"/>
      <c r="P126" s="100" t="s">
        <v>267</v>
      </c>
      <c r="R126" s="228"/>
      <c r="W126" s="294" t="s">
        <v>696</v>
      </c>
    </row>
    <row r="127" spans="1:23" ht="50.45" customHeight="1" thickBot="1" x14ac:dyDescent="0.25">
      <c r="A127" s="48" t="s">
        <v>268</v>
      </c>
      <c r="B127" s="49" t="s">
        <v>269</v>
      </c>
      <c r="C127" s="98">
        <v>0.79</v>
      </c>
      <c r="D127" s="103">
        <v>0.77600000000000002</v>
      </c>
      <c r="E127" s="97">
        <v>0.8</v>
      </c>
      <c r="F127" s="103">
        <v>0.78900000000000003</v>
      </c>
      <c r="G127" s="101">
        <v>0.8</v>
      </c>
      <c r="H127" s="104" t="s">
        <v>270</v>
      </c>
      <c r="I127" s="97">
        <v>0.8</v>
      </c>
      <c r="J127" s="105">
        <v>0.80500000000000005</v>
      </c>
      <c r="K127" s="99" t="s">
        <v>271</v>
      </c>
      <c r="L127" s="254"/>
      <c r="M127" s="20" t="s">
        <v>31</v>
      </c>
      <c r="N127" s="34" t="s">
        <v>52</v>
      </c>
      <c r="O127" s="290"/>
      <c r="P127" s="100" t="s">
        <v>272</v>
      </c>
      <c r="R127" s="228"/>
      <c r="W127" s="294" t="s">
        <v>697</v>
      </c>
    </row>
    <row r="128" spans="1:23" ht="81.599999999999994" customHeight="1" thickBot="1" x14ac:dyDescent="0.25">
      <c r="A128" s="106" t="s">
        <v>273</v>
      </c>
      <c r="B128" s="107" t="s">
        <v>274</v>
      </c>
      <c r="C128" s="108">
        <v>0.89</v>
      </c>
      <c r="D128" s="109">
        <v>0.91500000000000004</v>
      </c>
      <c r="E128" s="110">
        <v>0.89200000000000002</v>
      </c>
      <c r="F128" s="111">
        <v>0.91900000000000004</v>
      </c>
      <c r="G128" s="112">
        <v>0.93</v>
      </c>
      <c r="H128" s="112">
        <v>0.93</v>
      </c>
      <c r="I128" s="112">
        <v>0.95</v>
      </c>
      <c r="J128" s="113">
        <v>0.94</v>
      </c>
      <c r="K128" s="114" t="s">
        <v>275</v>
      </c>
      <c r="L128" s="249"/>
      <c r="M128" s="21" t="s">
        <v>27</v>
      </c>
      <c r="N128" s="95" t="s">
        <v>276</v>
      </c>
      <c r="O128" s="290"/>
      <c r="P128" s="115" t="s">
        <v>277</v>
      </c>
      <c r="Q128" s="116"/>
      <c r="R128" s="231"/>
      <c r="W128" s="295" t="s">
        <v>698</v>
      </c>
    </row>
    <row r="129" spans="1:23" ht="54.95" customHeight="1" thickBot="1" x14ac:dyDescent="0.25">
      <c r="A129" s="48" t="s">
        <v>278</v>
      </c>
      <c r="B129" s="49" t="s">
        <v>279</v>
      </c>
      <c r="C129" s="98">
        <v>0.67</v>
      </c>
      <c r="D129" s="103">
        <v>0.80400000000000005</v>
      </c>
      <c r="E129" s="97">
        <v>0.71</v>
      </c>
      <c r="F129" s="117">
        <v>0.81399999999999995</v>
      </c>
      <c r="G129" s="91">
        <v>0.755</v>
      </c>
      <c r="H129" s="91">
        <v>0.82499999999999996</v>
      </c>
      <c r="I129" s="92">
        <v>0.8</v>
      </c>
      <c r="J129" s="93" t="s">
        <v>280</v>
      </c>
      <c r="K129" s="99" t="s">
        <v>281</v>
      </c>
      <c r="L129" s="254"/>
      <c r="M129" s="20" t="s">
        <v>31</v>
      </c>
      <c r="N129" s="95" t="s">
        <v>282</v>
      </c>
      <c r="O129" s="290"/>
      <c r="P129" s="100" t="s">
        <v>283</v>
      </c>
      <c r="R129" s="228"/>
      <c r="W129" s="294" t="s">
        <v>699</v>
      </c>
    </row>
    <row r="130" spans="1:23" ht="50.45" customHeight="1" thickBot="1" x14ac:dyDescent="0.25">
      <c r="A130" s="48" t="s">
        <v>284</v>
      </c>
      <c r="B130" s="49" t="s">
        <v>285</v>
      </c>
      <c r="C130" s="54">
        <v>131000</v>
      </c>
      <c r="D130" s="54">
        <v>124176</v>
      </c>
      <c r="E130" s="55">
        <v>119000</v>
      </c>
      <c r="F130" s="118">
        <v>189559</v>
      </c>
      <c r="G130" s="61">
        <v>109000</v>
      </c>
      <c r="H130" s="61">
        <v>187756</v>
      </c>
      <c r="I130" s="61">
        <v>160000</v>
      </c>
      <c r="J130" s="93" t="s">
        <v>286</v>
      </c>
      <c r="K130" s="18">
        <f>100000-151119</f>
        <v>-51119</v>
      </c>
      <c r="L130" s="39">
        <f>K130/100000</f>
        <v>-0.51119000000000003</v>
      </c>
      <c r="M130" s="16" t="s">
        <v>31</v>
      </c>
      <c r="N130" s="16">
        <f>151119/I130-1</f>
        <v>-5.5506249999999979E-2</v>
      </c>
      <c r="O130" s="290"/>
      <c r="P130" s="100" t="s">
        <v>287</v>
      </c>
      <c r="R130" s="228"/>
      <c r="W130" s="294" t="s">
        <v>700</v>
      </c>
    </row>
    <row r="131" spans="1:23" ht="99.95" customHeight="1" thickBot="1" x14ac:dyDescent="0.25">
      <c r="A131" s="48" t="s">
        <v>288</v>
      </c>
      <c r="B131" s="49" t="s">
        <v>289</v>
      </c>
      <c r="C131" s="103">
        <v>0.53190000000000004</v>
      </c>
      <c r="D131" s="103">
        <v>0.74199999999999999</v>
      </c>
      <c r="E131" s="90">
        <v>0.68720000000000003</v>
      </c>
      <c r="F131" s="117">
        <v>0.73740000000000006</v>
      </c>
      <c r="G131" s="92">
        <v>0.78</v>
      </c>
      <c r="H131" s="91">
        <v>0.73740000000000006</v>
      </c>
      <c r="I131" s="92">
        <v>0.8</v>
      </c>
      <c r="J131" s="119">
        <v>0.73740000000000006</v>
      </c>
      <c r="K131" s="120" t="s">
        <v>290</v>
      </c>
      <c r="L131" s="254"/>
      <c r="M131" s="60" t="s">
        <v>154</v>
      </c>
      <c r="N131" s="95" t="s">
        <v>291</v>
      </c>
      <c r="O131" s="290"/>
      <c r="P131" s="100">
        <v>8585</v>
      </c>
      <c r="R131" s="228"/>
      <c r="W131" s="295" t="s">
        <v>701</v>
      </c>
    </row>
    <row r="132" spans="1:23" ht="50.45" customHeight="1" thickBot="1" x14ac:dyDescent="0.25">
      <c r="A132" s="48" t="s">
        <v>292</v>
      </c>
      <c r="B132" s="49" t="s">
        <v>293</v>
      </c>
      <c r="C132" s="103">
        <v>0.10150000000000001</v>
      </c>
      <c r="D132" s="103">
        <v>0.104</v>
      </c>
      <c r="E132" s="90">
        <v>0.1017</v>
      </c>
      <c r="F132" s="117">
        <v>0.10199999999999999</v>
      </c>
      <c r="G132" s="91">
        <v>9.8799999999999999E-2</v>
      </c>
      <c r="H132" s="91">
        <v>9.2999999999999999E-2</v>
      </c>
      <c r="I132" s="91">
        <v>9.6000000000000002E-2</v>
      </c>
      <c r="J132" s="93" t="s">
        <v>294</v>
      </c>
      <c r="K132" s="34" t="s">
        <v>295</v>
      </c>
      <c r="L132" s="249"/>
      <c r="M132" s="60" t="s">
        <v>154</v>
      </c>
      <c r="N132" s="34" t="s">
        <v>296</v>
      </c>
      <c r="O132" s="290"/>
      <c r="P132" s="100" t="s">
        <v>297</v>
      </c>
      <c r="R132" s="228"/>
    </row>
    <row r="133" spans="1:23" ht="50.45" customHeight="1" thickBot="1" x14ac:dyDescent="0.25">
      <c r="A133" s="48" t="s">
        <v>298</v>
      </c>
      <c r="B133" s="49" t="s">
        <v>299</v>
      </c>
      <c r="C133" s="54">
        <v>1334</v>
      </c>
      <c r="D133" s="121">
        <v>635</v>
      </c>
      <c r="E133" s="50">
        <v>836</v>
      </c>
      <c r="F133" s="122">
        <v>973</v>
      </c>
      <c r="G133" s="61">
        <v>1370</v>
      </c>
      <c r="H133" s="61">
        <v>1354</v>
      </c>
      <c r="I133" s="61">
        <v>2000</v>
      </c>
      <c r="J133" s="93" t="s">
        <v>300</v>
      </c>
      <c r="K133" s="18">
        <f>1478-3500</f>
        <v>-2022</v>
      </c>
      <c r="L133" s="39">
        <f>K133/3500</f>
        <v>-0.57771428571428574</v>
      </c>
      <c r="M133" s="21" t="s">
        <v>27</v>
      </c>
      <c r="N133" s="16">
        <f>1478/I133-1</f>
        <v>-0.26100000000000001</v>
      </c>
      <c r="O133" s="290"/>
      <c r="P133" s="100" t="s">
        <v>301</v>
      </c>
      <c r="R133" s="228"/>
      <c r="W133" s="295" t="s">
        <v>702</v>
      </c>
    </row>
    <row r="134" spans="1:23" ht="66" customHeight="1" thickBot="1" x14ac:dyDescent="0.25">
      <c r="A134" s="48" t="s">
        <v>302</v>
      </c>
      <c r="B134" s="49" t="s">
        <v>303</v>
      </c>
      <c r="C134" s="103">
        <v>0.17960000000000001</v>
      </c>
      <c r="D134" s="103">
        <v>0.16500000000000001</v>
      </c>
      <c r="E134" s="90">
        <v>0.16539999999999999</v>
      </c>
      <c r="F134" s="117">
        <v>0.14599999999999999</v>
      </c>
      <c r="G134" s="91">
        <v>0.1512</v>
      </c>
      <c r="H134" s="91">
        <v>0.14399999999999999</v>
      </c>
      <c r="I134" s="92">
        <v>0.14000000000000001</v>
      </c>
      <c r="J134" s="93" t="s">
        <v>304</v>
      </c>
      <c r="K134" s="120" t="s">
        <v>305</v>
      </c>
      <c r="L134" s="254"/>
      <c r="M134" s="60" t="s">
        <v>154</v>
      </c>
      <c r="N134" s="120" t="s">
        <v>306</v>
      </c>
      <c r="O134" s="290"/>
      <c r="P134" s="100" t="s">
        <v>246</v>
      </c>
      <c r="R134" s="228"/>
      <c r="W134" s="297"/>
    </row>
    <row r="135" spans="1:23" ht="50.45" customHeight="1" thickBot="1" x14ac:dyDescent="0.25">
      <c r="A135" s="48" t="s">
        <v>307</v>
      </c>
      <c r="B135" s="49" t="s">
        <v>308</v>
      </c>
      <c r="C135" s="103">
        <v>0.38940000000000002</v>
      </c>
      <c r="D135" s="103">
        <v>0.35199999999999998</v>
      </c>
      <c r="E135" s="90">
        <v>0.40160000000000001</v>
      </c>
      <c r="F135" s="117">
        <v>0.34599999999999997</v>
      </c>
      <c r="G135" s="91">
        <v>0.4138</v>
      </c>
      <c r="H135" s="91">
        <v>0.33900000000000002</v>
      </c>
      <c r="I135" s="92">
        <v>0.43</v>
      </c>
      <c r="J135" s="119">
        <v>0.33900000000000002</v>
      </c>
      <c r="K135" s="120" t="s">
        <v>309</v>
      </c>
      <c r="L135" s="254"/>
      <c r="M135" s="60" t="s">
        <v>154</v>
      </c>
      <c r="N135" s="95" t="s">
        <v>310</v>
      </c>
      <c r="O135" s="290"/>
      <c r="P135" s="100" t="s">
        <v>246</v>
      </c>
      <c r="R135" s="228"/>
      <c r="W135" s="294" t="s">
        <v>703</v>
      </c>
    </row>
    <row r="136" spans="1:23" ht="102" customHeight="1" thickBot="1" x14ac:dyDescent="0.25">
      <c r="A136" s="48" t="s">
        <v>311</v>
      </c>
      <c r="B136" s="49" t="s">
        <v>312</v>
      </c>
      <c r="C136" s="123" t="s">
        <v>313</v>
      </c>
      <c r="D136" s="103">
        <v>0.53900000000000003</v>
      </c>
      <c r="E136" s="50" t="s">
        <v>314</v>
      </c>
      <c r="F136" s="117">
        <v>0.53800000000000003</v>
      </c>
      <c r="G136" s="58" t="s">
        <v>314</v>
      </c>
      <c r="H136" s="92">
        <v>0.54</v>
      </c>
      <c r="I136" s="58" t="s">
        <v>315</v>
      </c>
      <c r="J136" s="93" t="s">
        <v>316</v>
      </c>
      <c r="K136" s="34" t="s">
        <v>317</v>
      </c>
      <c r="L136" s="249">
        <f>19.8/17.9-1</f>
        <v>0.1061452513966481</v>
      </c>
      <c r="M136" s="258" t="s">
        <v>649</v>
      </c>
      <c r="N136" s="34" t="s">
        <v>318</v>
      </c>
      <c r="O136" s="27"/>
      <c r="P136" s="100" t="s">
        <v>246</v>
      </c>
      <c r="R136" s="220" t="s">
        <v>617</v>
      </c>
      <c r="W136" s="294" t="s">
        <v>704</v>
      </c>
    </row>
    <row r="137" spans="1:23" ht="50.45" customHeight="1" x14ac:dyDescent="0.2">
      <c r="A137" s="347" t="s">
        <v>319</v>
      </c>
      <c r="B137" s="349" t="s">
        <v>320</v>
      </c>
      <c r="C137" s="351">
        <v>0.1</v>
      </c>
      <c r="D137" s="353" t="s">
        <v>321</v>
      </c>
      <c r="E137" s="355" t="s">
        <v>322</v>
      </c>
      <c r="F137" s="357" t="s">
        <v>323</v>
      </c>
      <c r="G137" s="359" t="s">
        <v>324</v>
      </c>
      <c r="H137" s="359" t="s">
        <v>325</v>
      </c>
      <c r="I137" s="124">
        <v>0.5</v>
      </c>
      <c r="J137" s="125">
        <v>0.66600000000000004</v>
      </c>
      <c r="K137" s="34" t="s">
        <v>326</v>
      </c>
      <c r="L137" s="249">
        <f>J137/I137-1</f>
        <v>0.33200000000000007</v>
      </c>
      <c r="M137" s="21" t="s">
        <v>27</v>
      </c>
      <c r="N137" s="34" t="s">
        <v>327</v>
      </c>
      <c r="O137" s="27"/>
      <c r="P137" s="345" t="s">
        <v>53</v>
      </c>
      <c r="R137" s="220" t="s">
        <v>618</v>
      </c>
    </row>
    <row r="138" spans="1:23" ht="50.45" customHeight="1" thickBot="1" x14ac:dyDescent="0.25">
      <c r="A138" s="348"/>
      <c r="B138" s="350"/>
      <c r="C138" s="352"/>
      <c r="D138" s="354"/>
      <c r="E138" s="356"/>
      <c r="F138" s="358"/>
      <c r="G138" s="360"/>
      <c r="H138" s="360"/>
      <c r="I138" s="58" t="s">
        <v>328</v>
      </c>
      <c r="J138" s="93" t="s">
        <v>329</v>
      </c>
      <c r="K138" s="126"/>
      <c r="L138" s="255"/>
      <c r="M138" s="126"/>
      <c r="N138" s="126"/>
      <c r="O138" s="290"/>
      <c r="P138" s="346"/>
      <c r="R138" s="221"/>
    </row>
    <row r="139" spans="1:23" ht="57.95" customHeight="1" thickBot="1" x14ac:dyDescent="0.25">
      <c r="A139" s="48" t="s">
        <v>330</v>
      </c>
      <c r="B139" s="49" t="s">
        <v>331</v>
      </c>
      <c r="C139" s="123">
        <v>500</v>
      </c>
      <c r="D139" s="121">
        <v>594</v>
      </c>
      <c r="E139" s="50">
        <v>500</v>
      </c>
      <c r="F139" s="122">
        <v>517</v>
      </c>
      <c r="G139" s="58">
        <v>500</v>
      </c>
      <c r="H139" s="58">
        <v>564</v>
      </c>
      <c r="I139" s="58">
        <v>500</v>
      </c>
      <c r="J139" s="127">
        <v>581</v>
      </c>
      <c r="K139" s="35">
        <f>(D139+F139+H139+J139)-2000</f>
        <v>256</v>
      </c>
      <c r="L139" s="57">
        <f>K139/2000</f>
        <v>0.128</v>
      </c>
      <c r="M139" s="21" t="s">
        <v>27</v>
      </c>
      <c r="N139" s="22">
        <f>J139/I139-1</f>
        <v>0.16199999999999992</v>
      </c>
      <c r="O139" s="27"/>
      <c r="P139" s="115" t="s">
        <v>332</v>
      </c>
      <c r="R139" s="220" t="s">
        <v>619</v>
      </c>
    </row>
    <row r="140" spans="1:23" ht="50.45" customHeight="1" thickBot="1" x14ac:dyDescent="0.25">
      <c r="A140" s="48" t="s">
        <v>333</v>
      </c>
      <c r="B140" s="49" t="s">
        <v>334</v>
      </c>
      <c r="C140" s="54">
        <v>7012</v>
      </c>
      <c r="D140" s="123" t="s">
        <v>335</v>
      </c>
      <c r="E140" s="55">
        <v>2833</v>
      </c>
      <c r="F140" s="122">
        <v>0</v>
      </c>
      <c r="G140" s="58">
        <v>0</v>
      </c>
      <c r="H140" s="58" t="s">
        <v>335</v>
      </c>
      <c r="I140" s="58">
        <v>0</v>
      </c>
      <c r="J140" s="93" t="s">
        <v>336</v>
      </c>
      <c r="K140" s="18">
        <f>5117-11000</f>
        <v>-5883</v>
      </c>
      <c r="L140" s="39">
        <f>5117/11000-1</f>
        <v>-0.53481818181818186</v>
      </c>
      <c r="M140" s="41" t="s">
        <v>648</v>
      </c>
      <c r="N140" s="39">
        <f>5117/11000-1</f>
        <v>-0.53481818181818186</v>
      </c>
      <c r="O140" s="27"/>
      <c r="P140" s="100">
        <v>7652</v>
      </c>
      <c r="R140" s="220" t="s">
        <v>622</v>
      </c>
      <c r="W140" s="294" t="s">
        <v>705</v>
      </c>
    </row>
    <row r="141" spans="1:23" ht="55.5" customHeight="1" thickBot="1" x14ac:dyDescent="0.25">
      <c r="A141" s="48" t="s">
        <v>337</v>
      </c>
      <c r="B141" s="49" t="s">
        <v>338</v>
      </c>
      <c r="C141" s="54">
        <v>7013</v>
      </c>
      <c r="D141" s="123" t="s">
        <v>335</v>
      </c>
      <c r="E141" s="55">
        <v>8208</v>
      </c>
      <c r="F141" s="122">
        <v>0</v>
      </c>
      <c r="G141" s="61">
        <v>7390</v>
      </c>
      <c r="H141" s="58" t="s">
        <v>335</v>
      </c>
      <c r="I141" s="61">
        <v>7389</v>
      </c>
      <c r="J141" s="93" t="s">
        <v>339</v>
      </c>
      <c r="K141" s="18">
        <f>4591-30000</f>
        <v>-25409</v>
      </c>
      <c r="L141" s="39">
        <f>4591/30000-1</f>
        <v>-0.84696666666666665</v>
      </c>
      <c r="M141" s="41" t="s">
        <v>648</v>
      </c>
      <c r="N141" s="39">
        <f>4591/30000-1</f>
        <v>-0.84696666666666665</v>
      </c>
      <c r="O141" s="27"/>
      <c r="P141" s="100">
        <v>7656</v>
      </c>
      <c r="R141" s="220" t="s">
        <v>620</v>
      </c>
      <c r="W141" s="294" t="s">
        <v>706</v>
      </c>
    </row>
    <row r="142" spans="1:23" ht="50.45" customHeight="1" thickBot="1" x14ac:dyDescent="0.25">
      <c r="A142" s="48" t="s">
        <v>340</v>
      </c>
      <c r="B142" s="49" t="s">
        <v>341</v>
      </c>
      <c r="C142" s="54">
        <v>4675</v>
      </c>
      <c r="D142" s="123" t="s">
        <v>335</v>
      </c>
      <c r="E142" s="55">
        <v>5472</v>
      </c>
      <c r="F142" s="122">
        <v>0</v>
      </c>
      <c r="G142" s="61">
        <v>4926</v>
      </c>
      <c r="H142" s="58" t="s">
        <v>335</v>
      </c>
      <c r="I142" s="61">
        <v>4927</v>
      </c>
      <c r="J142" s="128">
        <v>1902</v>
      </c>
      <c r="K142" s="18">
        <f>1902-20000</f>
        <v>-18098</v>
      </c>
      <c r="L142" s="39">
        <f>1902/20000-1</f>
        <v>-0.90490000000000004</v>
      </c>
      <c r="M142" s="41" t="s">
        <v>648</v>
      </c>
      <c r="N142" s="39">
        <f>1902/20000-1</f>
        <v>-0.90490000000000004</v>
      </c>
      <c r="O142" s="27"/>
      <c r="P142" s="100">
        <v>7656</v>
      </c>
      <c r="R142" s="220" t="s">
        <v>620</v>
      </c>
      <c r="W142" s="294" t="s">
        <v>707</v>
      </c>
    </row>
    <row r="143" spans="1:23" ht="50.45" customHeight="1" thickBot="1" x14ac:dyDescent="0.25">
      <c r="A143" s="48" t="s">
        <v>342</v>
      </c>
      <c r="B143" s="49" t="s">
        <v>343</v>
      </c>
      <c r="C143" s="54">
        <v>2337</v>
      </c>
      <c r="D143" s="123" t="s">
        <v>335</v>
      </c>
      <c r="E143" s="55">
        <v>2833</v>
      </c>
      <c r="F143" s="122">
        <v>0</v>
      </c>
      <c r="G143" s="61">
        <v>2415</v>
      </c>
      <c r="H143" s="58" t="s">
        <v>335</v>
      </c>
      <c r="I143" s="61">
        <v>2415</v>
      </c>
      <c r="J143" s="129">
        <v>2753</v>
      </c>
      <c r="K143" s="18">
        <f>2753-10000</f>
        <v>-7247</v>
      </c>
      <c r="L143" s="39">
        <f>2753/10000-1</f>
        <v>-0.72470000000000001</v>
      </c>
      <c r="M143" s="41" t="s">
        <v>648</v>
      </c>
      <c r="N143" s="39">
        <f>2753/10000-1</f>
        <v>-0.72470000000000001</v>
      </c>
      <c r="O143" s="27"/>
      <c r="P143" s="100">
        <v>7656</v>
      </c>
      <c r="R143" s="220" t="s">
        <v>621</v>
      </c>
      <c r="W143" s="294" t="s">
        <v>708</v>
      </c>
    </row>
    <row r="144" spans="1:23" ht="50.45" customHeight="1" thickBot="1" x14ac:dyDescent="0.25">
      <c r="A144" s="48" t="s">
        <v>344</v>
      </c>
      <c r="B144" s="49" t="s">
        <v>345</v>
      </c>
      <c r="C144" s="123">
        <v>750</v>
      </c>
      <c r="D144" s="123">
        <v>873</v>
      </c>
      <c r="E144" s="50">
        <v>750</v>
      </c>
      <c r="F144" s="118">
        <v>1131</v>
      </c>
      <c r="G144" s="58">
        <v>750</v>
      </c>
      <c r="H144" s="58">
        <v>987</v>
      </c>
      <c r="I144" s="58">
        <v>750</v>
      </c>
      <c r="J144" s="129">
        <v>1053</v>
      </c>
      <c r="K144" s="35">
        <f>(D144+F144+H144+J144)-3000</f>
        <v>1044</v>
      </c>
      <c r="L144" s="57">
        <f>K144/3000</f>
        <v>0.34799999999999998</v>
      </c>
      <c r="M144" s="21" t="s">
        <v>27</v>
      </c>
      <c r="N144" s="22">
        <f>J144/I144-1</f>
        <v>0.40399999999999991</v>
      </c>
      <c r="O144" s="290"/>
      <c r="P144" s="115" t="s">
        <v>332</v>
      </c>
      <c r="R144" s="228"/>
    </row>
    <row r="145" spans="1:16" ht="24.95" customHeight="1" x14ac:dyDescent="0.2">
      <c r="A145"/>
      <c r="B145"/>
      <c r="C145"/>
      <c r="D145"/>
      <c r="E145"/>
      <c r="F145"/>
      <c r="G145"/>
      <c r="H145"/>
      <c r="I145"/>
      <c r="J145"/>
      <c r="P145" s="130"/>
    </row>
    <row r="146" spans="1:16" ht="33" customHeight="1" x14ac:dyDescent="0.2">
      <c r="A146" s="336" t="s">
        <v>346</v>
      </c>
      <c r="B146" s="336"/>
      <c r="C146" s="336"/>
      <c r="D146" s="336"/>
      <c r="E146" s="336"/>
      <c r="F146" s="336"/>
      <c r="G146" s="336"/>
      <c r="H146" s="336"/>
      <c r="I146" s="336"/>
      <c r="J146" s="336"/>
      <c r="K146" s="336"/>
      <c r="L146" s="336"/>
      <c r="M146" s="336"/>
      <c r="N146" s="70"/>
    </row>
    <row r="147" spans="1:16" ht="33" customHeight="1" x14ac:dyDescent="0.2">
      <c r="A147" s="342" t="s">
        <v>347</v>
      </c>
      <c r="B147" s="342"/>
      <c r="C147" s="342"/>
      <c r="D147" s="342"/>
      <c r="E147" s="342"/>
      <c r="F147" s="342"/>
      <c r="G147" s="342"/>
      <c r="H147" s="342"/>
      <c r="I147" s="342"/>
      <c r="J147" s="342"/>
      <c r="K147" s="342"/>
      <c r="L147" s="342"/>
      <c r="M147" s="342"/>
      <c r="N147" s="85"/>
    </row>
    <row r="148" spans="1:16" ht="33" customHeight="1" x14ac:dyDescent="0.2">
      <c r="A148" s="336" t="s">
        <v>348</v>
      </c>
      <c r="B148" s="336"/>
      <c r="C148" s="336"/>
      <c r="D148" s="336"/>
      <c r="E148" s="336"/>
      <c r="F148" s="336"/>
      <c r="G148" s="336"/>
      <c r="H148" s="336"/>
      <c r="I148" s="336"/>
      <c r="J148" s="336"/>
      <c r="K148" s="336"/>
      <c r="L148" s="336"/>
      <c r="M148" s="336"/>
      <c r="N148" s="70"/>
    </row>
    <row r="149" spans="1:16" ht="33" customHeight="1" x14ac:dyDescent="0.2">
      <c r="A149" s="336" t="s">
        <v>349</v>
      </c>
      <c r="B149" s="336"/>
      <c r="C149" s="336"/>
      <c r="D149" s="336"/>
      <c r="E149" s="336"/>
      <c r="F149" s="336"/>
      <c r="G149" s="336"/>
      <c r="H149" s="336"/>
      <c r="I149" s="336"/>
      <c r="J149" s="336"/>
      <c r="K149" s="336"/>
      <c r="L149" s="336"/>
      <c r="M149" s="336"/>
      <c r="N149" s="70"/>
      <c r="O149" s="272"/>
    </row>
    <row r="150" spans="1:16" ht="33" customHeight="1" x14ac:dyDescent="0.2">
      <c r="A150" s="336" t="s">
        <v>350</v>
      </c>
      <c r="B150" s="336"/>
      <c r="C150" s="336"/>
      <c r="D150" s="336"/>
      <c r="E150" s="336"/>
      <c r="F150" s="336"/>
      <c r="G150" s="336"/>
      <c r="H150" s="336"/>
      <c r="I150" s="336"/>
      <c r="J150" s="336"/>
      <c r="K150" s="336"/>
      <c r="L150" s="336"/>
      <c r="M150" s="336"/>
      <c r="N150" s="70"/>
    </row>
    <row r="151" spans="1:16" ht="33" customHeight="1" x14ac:dyDescent="0.2">
      <c r="A151" s="336" t="s">
        <v>351</v>
      </c>
      <c r="B151" s="336"/>
      <c r="C151" s="336"/>
      <c r="D151" s="336"/>
      <c r="E151" s="336"/>
      <c r="F151" s="336"/>
      <c r="G151" s="336"/>
      <c r="H151" s="336"/>
      <c r="I151" s="336"/>
      <c r="J151" s="336"/>
      <c r="K151" s="336"/>
      <c r="L151" s="336"/>
      <c r="M151" s="336"/>
      <c r="N151" s="336"/>
      <c r="O151" s="336"/>
    </row>
    <row r="152" spans="1:16" ht="33" customHeight="1" x14ac:dyDescent="0.2">
      <c r="A152" s="342" t="s">
        <v>352</v>
      </c>
      <c r="B152" s="342"/>
      <c r="C152" s="342"/>
      <c r="D152" s="342"/>
      <c r="E152" s="342"/>
      <c r="F152" s="342"/>
      <c r="G152" s="342"/>
      <c r="H152" s="342"/>
      <c r="I152" s="342"/>
      <c r="J152" s="342"/>
      <c r="K152" s="342"/>
      <c r="L152" s="342"/>
      <c r="M152" s="342"/>
      <c r="N152" s="342"/>
      <c r="O152" s="342"/>
    </row>
    <row r="153" spans="1:16" ht="33" customHeight="1" x14ac:dyDescent="0.2">
      <c r="A153" s="342" t="s">
        <v>353</v>
      </c>
      <c r="B153" s="342"/>
      <c r="C153" s="342"/>
      <c r="D153" s="342"/>
      <c r="E153" s="342"/>
      <c r="F153" s="342"/>
      <c r="G153" s="342"/>
      <c r="H153" s="342"/>
      <c r="I153" s="342"/>
      <c r="J153" s="342"/>
      <c r="K153" s="342"/>
      <c r="L153" s="342"/>
      <c r="M153" s="342"/>
      <c r="N153" s="342"/>
      <c r="O153" s="342"/>
    </row>
    <row r="154" spans="1:16" ht="33" customHeight="1" x14ac:dyDescent="0.2">
      <c r="A154" s="342" t="s">
        <v>354</v>
      </c>
      <c r="B154" s="342"/>
      <c r="C154" s="342"/>
      <c r="D154" s="342"/>
      <c r="E154" s="342"/>
      <c r="F154" s="342"/>
      <c r="G154" s="342"/>
      <c r="H154" s="342"/>
      <c r="I154" s="342"/>
      <c r="J154" s="342"/>
      <c r="K154" s="342"/>
      <c r="L154" s="342"/>
      <c r="M154" s="342"/>
      <c r="N154" s="342"/>
      <c r="O154" s="342"/>
    </row>
    <row r="155" spans="1:16" ht="33" customHeight="1" x14ac:dyDescent="0.2">
      <c r="A155" s="342" t="s">
        <v>355</v>
      </c>
      <c r="B155" s="342"/>
      <c r="C155" s="342"/>
      <c r="D155" s="342"/>
      <c r="E155" s="342"/>
      <c r="F155" s="342"/>
      <c r="G155" s="342"/>
      <c r="H155" s="342"/>
      <c r="I155" s="342"/>
      <c r="J155" s="342"/>
      <c r="K155" s="342"/>
      <c r="L155" s="342"/>
      <c r="M155" s="342"/>
      <c r="N155" s="342"/>
      <c r="O155" s="342"/>
    </row>
    <row r="156" spans="1:16" ht="33" customHeight="1" x14ac:dyDescent="0.2">
      <c r="A156" s="342" t="s">
        <v>356</v>
      </c>
      <c r="B156" s="342"/>
      <c r="C156" s="342"/>
      <c r="D156" s="342"/>
      <c r="E156" s="342"/>
      <c r="F156" s="342"/>
      <c r="G156" s="342"/>
      <c r="H156" s="342"/>
      <c r="I156" s="342"/>
      <c r="J156" s="342"/>
      <c r="K156" s="342"/>
      <c r="L156" s="342"/>
      <c r="M156" s="342"/>
      <c r="N156" s="342"/>
      <c r="O156" s="342"/>
    </row>
    <row r="157" spans="1:16" ht="33" customHeight="1" x14ac:dyDescent="0.2">
      <c r="A157" s="342" t="s">
        <v>357</v>
      </c>
      <c r="B157" s="342"/>
      <c r="C157" s="342"/>
      <c r="D157" s="342"/>
      <c r="E157" s="342"/>
      <c r="F157" s="342"/>
      <c r="G157" s="342"/>
      <c r="H157" s="342"/>
      <c r="I157" s="342"/>
      <c r="J157" s="342"/>
      <c r="K157" s="342"/>
      <c r="L157" s="342"/>
      <c r="M157" s="342"/>
      <c r="N157" s="342"/>
      <c r="O157" s="342"/>
    </row>
    <row r="158" spans="1:16" ht="50.45" customHeight="1" x14ac:dyDescent="0.2">
      <c r="A158" s="342" t="s">
        <v>358</v>
      </c>
      <c r="B158" s="342"/>
      <c r="C158" s="342"/>
      <c r="D158" s="342"/>
      <c r="E158" s="342"/>
      <c r="F158" s="342"/>
      <c r="G158" s="342"/>
      <c r="H158" s="342"/>
      <c r="I158" s="342"/>
      <c r="J158" s="342"/>
      <c r="K158" s="342"/>
      <c r="L158" s="342"/>
      <c r="M158" s="342"/>
      <c r="N158" s="342"/>
      <c r="O158" s="342"/>
    </row>
    <row r="159" spans="1:16" ht="28.5" customHeight="1" x14ac:dyDescent="0.2">
      <c r="A159" s="308" t="s">
        <v>0</v>
      </c>
      <c r="B159" s="308"/>
      <c r="C159" s="308"/>
      <c r="D159" s="308"/>
      <c r="E159" s="308"/>
      <c r="F159" s="308"/>
      <c r="G159" s="308"/>
      <c r="H159" s="308"/>
      <c r="I159" s="308"/>
      <c r="J159" s="308"/>
      <c r="K159" s="308"/>
      <c r="L159" s="308"/>
      <c r="M159" s="308"/>
      <c r="N159" s="308"/>
      <c r="O159" s="308"/>
      <c r="P159" s="308"/>
    </row>
    <row r="160" spans="1:16" ht="50.45" customHeight="1" thickBot="1" x14ac:dyDescent="0.25">
      <c r="A160" s="308" t="s">
        <v>359</v>
      </c>
      <c r="B160" s="308"/>
      <c r="C160" s="308"/>
      <c r="D160" s="308"/>
      <c r="E160" s="308"/>
      <c r="F160" s="308"/>
      <c r="G160" s="308"/>
      <c r="H160" s="308"/>
      <c r="I160" s="308"/>
      <c r="J160" s="308"/>
      <c r="K160" s="308"/>
      <c r="L160" s="308"/>
      <c r="M160" s="308"/>
      <c r="N160" s="47"/>
    </row>
    <row r="161" spans="1:23" ht="25.5" customHeight="1" thickBot="1" x14ac:dyDescent="0.25">
      <c r="A161" s="310" t="s">
        <v>2</v>
      </c>
      <c r="B161" s="311"/>
      <c r="C161" s="311"/>
      <c r="D161" s="311"/>
      <c r="E161" s="311"/>
      <c r="F161" s="311"/>
      <c r="G161" s="311"/>
      <c r="H161" s="311"/>
      <c r="I161" s="311"/>
      <c r="J161" s="312"/>
      <c r="K161" s="334" t="s">
        <v>3</v>
      </c>
      <c r="L161" s="335"/>
      <c r="M161" s="335"/>
      <c r="N161" s="335"/>
      <c r="O161" s="335"/>
      <c r="P161" s="335"/>
      <c r="R161" s="266" t="s">
        <v>654</v>
      </c>
      <c r="U161" s="278"/>
      <c r="W161" s="305" t="s">
        <v>679</v>
      </c>
    </row>
    <row r="162" spans="1:23" s="132" customFormat="1" ht="30.6" customHeight="1" thickBot="1" x14ac:dyDescent="0.25">
      <c r="A162" s="365" t="s">
        <v>4</v>
      </c>
      <c r="B162" s="131" t="s">
        <v>5</v>
      </c>
      <c r="C162" s="366" t="s">
        <v>6</v>
      </c>
      <c r="D162" s="367"/>
      <c r="E162" s="366" t="s">
        <v>6</v>
      </c>
      <c r="F162" s="367"/>
      <c r="G162" s="366" t="s">
        <v>6</v>
      </c>
      <c r="H162" s="367"/>
      <c r="I162" s="366" t="s">
        <v>6</v>
      </c>
      <c r="J162" s="367"/>
      <c r="K162" s="321" t="s">
        <v>7</v>
      </c>
      <c r="L162" s="322"/>
      <c r="M162" s="321" t="s">
        <v>8</v>
      </c>
      <c r="N162" s="323"/>
      <c r="O162" s="324" t="s">
        <v>9</v>
      </c>
      <c r="P162" s="327" t="s">
        <v>10</v>
      </c>
      <c r="R162" s="306" t="s">
        <v>607</v>
      </c>
      <c r="U162" s="279"/>
      <c r="W162" s="305"/>
    </row>
    <row r="163" spans="1:23" s="132" customFormat="1" ht="30.6" customHeight="1" thickBot="1" x14ac:dyDescent="0.25">
      <c r="A163" s="361"/>
      <c r="B163" s="361" t="s">
        <v>11</v>
      </c>
      <c r="C163" s="363" t="s">
        <v>12</v>
      </c>
      <c r="D163" s="364"/>
      <c r="E163" s="363" t="s">
        <v>13</v>
      </c>
      <c r="F163" s="364"/>
      <c r="G163" s="363" t="s">
        <v>14</v>
      </c>
      <c r="H163" s="364"/>
      <c r="I163" s="363" t="s">
        <v>15</v>
      </c>
      <c r="J163" s="364"/>
      <c r="K163" s="321" t="s">
        <v>16</v>
      </c>
      <c r="L163" s="322"/>
      <c r="M163" s="321" t="s">
        <v>17</v>
      </c>
      <c r="N163" s="322"/>
      <c r="O163" s="325"/>
      <c r="P163" s="328"/>
      <c r="R163" s="306"/>
      <c r="U163" s="279"/>
      <c r="W163" s="305"/>
    </row>
    <row r="164" spans="1:23" s="132" customFormat="1" ht="30.6" customHeight="1" thickBot="1" x14ac:dyDescent="0.25">
      <c r="A164" s="362"/>
      <c r="B164" s="362"/>
      <c r="C164" s="133" t="s">
        <v>18</v>
      </c>
      <c r="D164" s="133" t="s">
        <v>19</v>
      </c>
      <c r="E164" s="133" t="s">
        <v>18</v>
      </c>
      <c r="F164" s="133" t="s">
        <v>19</v>
      </c>
      <c r="G164" s="133" t="s">
        <v>18</v>
      </c>
      <c r="H164" s="133" t="s">
        <v>19</v>
      </c>
      <c r="I164" s="133" t="s">
        <v>18</v>
      </c>
      <c r="J164" s="134" t="s">
        <v>360</v>
      </c>
      <c r="K164" s="5" t="s">
        <v>20</v>
      </c>
      <c r="L164" s="248" t="s">
        <v>21</v>
      </c>
      <c r="M164" s="6" t="s">
        <v>22</v>
      </c>
      <c r="N164" s="7" t="s">
        <v>23</v>
      </c>
      <c r="O164" s="326"/>
      <c r="P164" s="326"/>
      <c r="R164" s="307"/>
      <c r="U164" s="279"/>
      <c r="W164" s="305"/>
    </row>
    <row r="165" spans="1:23" ht="50.45" customHeight="1" thickBot="1" x14ac:dyDescent="0.25">
      <c r="A165" s="48" t="s">
        <v>361</v>
      </c>
      <c r="B165" s="49" t="s">
        <v>362</v>
      </c>
      <c r="C165" s="97">
        <v>0.77</v>
      </c>
      <c r="D165" s="103">
        <v>0.80400000000000005</v>
      </c>
      <c r="E165" s="97">
        <v>0.79</v>
      </c>
      <c r="F165" s="90">
        <v>0.80800000000000005</v>
      </c>
      <c r="G165" s="97">
        <v>0.82</v>
      </c>
      <c r="H165" s="102">
        <v>0.84799999999999998</v>
      </c>
      <c r="I165" s="101">
        <v>0.85</v>
      </c>
      <c r="J165" s="135">
        <v>0.85</v>
      </c>
      <c r="K165" s="21" t="s">
        <v>69</v>
      </c>
      <c r="L165" s="249"/>
      <c r="M165" s="21" t="s">
        <v>27</v>
      </c>
      <c r="N165" s="21" t="s">
        <v>69</v>
      </c>
      <c r="O165" s="290"/>
      <c r="P165" s="136" t="s">
        <v>363</v>
      </c>
      <c r="R165" s="228"/>
    </row>
    <row r="166" spans="1:23" ht="50.45" customHeight="1" thickBot="1" x14ac:dyDescent="0.25">
      <c r="A166" s="48" t="s">
        <v>364</v>
      </c>
      <c r="B166" s="49" t="s">
        <v>365</v>
      </c>
      <c r="C166" s="97">
        <v>0.85</v>
      </c>
      <c r="D166" s="90">
        <v>0.71699999999999997</v>
      </c>
      <c r="E166" s="97">
        <v>0.87</v>
      </c>
      <c r="F166" s="90">
        <v>0.81699999999999995</v>
      </c>
      <c r="G166" s="97">
        <v>0.89</v>
      </c>
      <c r="H166" s="102">
        <v>0.871</v>
      </c>
      <c r="I166" s="101">
        <v>0.9</v>
      </c>
      <c r="J166" s="135">
        <v>0.9</v>
      </c>
      <c r="K166" s="21" t="s">
        <v>69</v>
      </c>
      <c r="L166" s="249"/>
      <c r="M166" s="21" t="s">
        <v>27</v>
      </c>
      <c r="N166" s="21" t="s">
        <v>69</v>
      </c>
      <c r="O166" s="290"/>
      <c r="P166" s="273" t="s">
        <v>363</v>
      </c>
      <c r="R166" s="228"/>
    </row>
    <row r="167" spans="1:23" ht="50.45" customHeight="1" thickBot="1" x14ac:dyDescent="0.25">
      <c r="A167" s="48" t="s">
        <v>366</v>
      </c>
      <c r="B167" s="49" t="s">
        <v>367</v>
      </c>
      <c r="C167" s="97">
        <v>0.5</v>
      </c>
      <c r="D167" s="104" t="s">
        <v>368</v>
      </c>
      <c r="E167" s="97">
        <v>0.55000000000000004</v>
      </c>
      <c r="F167" s="104" t="s">
        <v>369</v>
      </c>
      <c r="G167" s="97">
        <v>0.56000000000000005</v>
      </c>
      <c r="H167" s="102">
        <v>0.29399999999999998</v>
      </c>
      <c r="I167" s="101">
        <v>0.56999999999999995</v>
      </c>
      <c r="J167" s="135">
        <v>0.3</v>
      </c>
      <c r="K167" s="120" t="s">
        <v>370</v>
      </c>
      <c r="L167" s="254"/>
      <c r="M167" s="21" t="s">
        <v>27</v>
      </c>
      <c r="N167" s="95" t="s">
        <v>371</v>
      </c>
      <c r="O167" s="290"/>
      <c r="P167" s="273" t="s">
        <v>363</v>
      </c>
      <c r="R167" s="228"/>
      <c r="W167" s="294" t="s">
        <v>709</v>
      </c>
    </row>
    <row r="168" spans="1:23" ht="50.45" customHeight="1" thickBot="1" x14ac:dyDescent="0.25">
      <c r="A168" s="48" t="s">
        <v>372</v>
      </c>
      <c r="B168" s="49" t="s">
        <v>373</v>
      </c>
      <c r="C168" s="97">
        <v>0.4</v>
      </c>
      <c r="D168" s="103">
        <v>0.26900000000000002</v>
      </c>
      <c r="E168" s="97">
        <v>0.5</v>
      </c>
      <c r="F168" s="97">
        <v>0.3</v>
      </c>
      <c r="G168" s="97">
        <v>0.55000000000000004</v>
      </c>
      <c r="H168" s="102">
        <v>0.40500000000000003</v>
      </c>
      <c r="I168" s="101">
        <v>0.6</v>
      </c>
      <c r="J168" s="137">
        <v>0.45900000000000002</v>
      </c>
      <c r="K168" s="120" t="s">
        <v>271</v>
      </c>
      <c r="L168" s="254"/>
      <c r="M168" s="21" t="s">
        <v>27</v>
      </c>
      <c r="N168" s="95" t="s">
        <v>374</v>
      </c>
      <c r="O168" s="290"/>
      <c r="P168" s="273" t="s">
        <v>363</v>
      </c>
      <c r="R168" s="228"/>
      <c r="W168" s="294" t="s">
        <v>710</v>
      </c>
    </row>
    <row r="169" spans="1:23" ht="50.45" customHeight="1" thickBot="1" x14ac:dyDescent="0.25">
      <c r="A169" s="48" t="s">
        <v>375</v>
      </c>
      <c r="B169" s="49" t="s">
        <v>376</v>
      </c>
      <c r="C169" s="97">
        <v>0.75</v>
      </c>
      <c r="D169" s="103">
        <v>0.59699999999999998</v>
      </c>
      <c r="E169" s="97">
        <v>0.8</v>
      </c>
      <c r="F169" s="90">
        <v>0.73799999999999999</v>
      </c>
      <c r="G169" s="97">
        <v>0.85</v>
      </c>
      <c r="H169" s="102">
        <v>0.82799999999999996</v>
      </c>
      <c r="I169" s="101">
        <v>0.9</v>
      </c>
      <c r="J169" s="137">
        <v>0.83799999999999997</v>
      </c>
      <c r="K169" s="120" t="s">
        <v>377</v>
      </c>
      <c r="L169" s="254"/>
      <c r="M169" s="21" t="s">
        <v>27</v>
      </c>
      <c r="N169" s="95" t="s">
        <v>291</v>
      </c>
      <c r="O169" s="290"/>
      <c r="P169" s="273" t="s">
        <v>363</v>
      </c>
      <c r="R169" s="228"/>
    </row>
    <row r="170" spans="1:23" ht="50.45" customHeight="1" thickBot="1" x14ac:dyDescent="0.25">
      <c r="A170" s="48" t="s">
        <v>378</v>
      </c>
      <c r="B170" s="49" t="s">
        <v>379</v>
      </c>
      <c r="C170" s="50">
        <v>3</v>
      </c>
      <c r="D170" s="123">
        <v>3</v>
      </c>
      <c r="E170" s="50">
        <v>3</v>
      </c>
      <c r="F170" s="50">
        <v>4</v>
      </c>
      <c r="G170" s="50">
        <v>3</v>
      </c>
      <c r="H170" s="51">
        <v>1</v>
      </c>
      <c r="I170" s="51">
        <v>2</v>
      </c>
      <c r="J170" s="63">
        <v>10</v>
      </c>
      <c r="K170" s="21">
        <f>(D170+F170+H170+J170)-11</f>
        <v>7</v>
      </c>
      <c r="L170" s="57">
        <f>(E170+G170+I170+K170)/11-1</f>
        <v>0.36363636363636354</v>
      </c>
      <c r="M170" s="21" t="s">
        <v>27</v>
      </c>
      <c r="N170" s="22">
        <f>J170/I170-1</f>
        <v>4</v>
      </c>
      <c r="O170" s="27"/>
      <c r="P170" s="273" t="s">
        <v>363</v>
      </c>
      <c r="R170" s="219" t="s">
        <v>623</v>
      </c>
    </row>
    <row r="171" spans="1:23" ht="50.45" customHeight="1" thickBot="1" x14ac:dyDescent="0.25">
      <c r="A171" s="48" t="s">
        <v>380</v>
      </c>
      <c r="B171" s="49" t="s">
        <v>381</v>
      </c>
      <c r="C171" s="50">
        <v>70</v>
      </c>
      <c r="D171" s="123">
        <v>30</v>
      </c>
      <c r="E171" s="50">
        <v>53</v>
      </c>
      <c r="F171" s="50">
        <v>24</v>
      </c>
      <c r="G171" s="50">
        <v>80</v>
      </c>
      <c r="H171" s="51">
        <v>13</v>
      </c>
      <c r="I171" s="51">
        <v>20</v>
      </c>
      <c r="J171" s="63">
        <v>16</v>
      </c>
      <c r="K171" s="20">
        <f>(D171+F171+H171+J171)-250</f>
        <v>-167</v>
      </c>
      <c r="L171" s="39">
        <f>K171/250</f>
        <v>-0.66800000000000004</v>
      </c>
      <c r="M171" s="21" t="s">
        <v>27</v>
      </c>
      <c r="N171" s="16">
        <f>J171/I171-1</f>
        <v>-0.19999999999999996</v>
      </c>
      <c r="O171" s="290"/>
      <c r="P171" s="273">
        <v>7684</v>
      </c>
      <c r="R171" s="228"/>
      <c r="W171" s="294" t="s">
        <v>711</v>
      </c>
    </row>
    <row r="172" spans="1:23" ht="50.45" customHeight="1" thickBot="1" x14ac:dyDescent="0.25">
      <c r="A172" s="48" t="s">
        <v>382</v>
      </c>
      <c r="B172" s="49" t="s">
        <v>383</v>
      </c>
      <c r="C172" s="50">
        <v>80</v>
      </c>
      <c r="D172" s="123">
        <v>26</v>
      </c>
      <c r="E172" s="50">
        <v>36</v>
      </c>
      <c r="F172" s="50">
        <v>19</v>
      </c>
      <c r="G172" s="50">
        <v>48</v>
      </c>
      <c r="H172" s="51">
        <v>25</v>
      </c>
      <c r="I172" s="51">
        <v>50</v>
      </c>
      <c r="J172" s="63">
        <v>30</v>
      </c>
      <c r="K172" s="20">
        <f>(D172+F172+H172+J172)-281</f>
        <v>-181</v>
      </c>
      <c r="L172" s="39">
        <f>K172/281</f>
        <v>-0.64412811387900359</v>
      </c>
      <c r="M172" s="21" t="s">
        <v>27</v>
      </c>
      <c r="N172" s="16">
        <f>J172/I172-1</f>
        <v>-0.4</v>
      </c>
      <c r="O172" s="290"/>
      <c r="P172" s="276">
        <v>7684</v>
      </c>
      <c r="R172" s="228"/>
      <c r="W172" s="294" t="s">
        <v>712</v>
      </c>
    </row>
    <row r="173" spans="1:23" ht="50.45" customHeight="1" thickBot="1" x14ac:dyDescent="0.25">
      <c r="A173" s="48" t="s">
        <v>384</v>
      </c>
      <c r="B173" s="49" t="s">
        <v>385</v>
      </c>
      <c r="C173" s="50">
        <v>45</v>
      </c>
      <c r="D173" s="123">
        <v>24</v>
      </c>
      <c r="E173" s="50">
        <v>0</v>
      </c>
      <c r="F173" s="50">
        <v>7</v>
      </c>
      <c r="G173" s="50">
        <v>5</v>
      </c>
      <c r="H173" s="51">
        <v>3</v>
      </c>
      <c r="I173" s="51">
        <v>5</v>
      </c>
      <c r="J173" s="63">
        <v>12</v>
      </c>
      <c r="K173" s="20">
        <f>(D173+F173+H173+J173)-148</f>
        <v>-102</v>
      </c>
      <c r="L173" s="39">
        <f>K173/148</f>
        <v>-0.68918918918918914</v>
      </c>
      <c r="M173" s="21" t="s">
        <v>27</v>
      </c>
      <c r="N173" s="22">
        <f>J173/I173-1</f>
        <v>1.4</v>
      </c>
      <c r="O173" s="290"/>
      <c r="P173" s="273">
        <v>7684</v>
      </c>
      <c r="R173" s="228"/>
      <c r="W173" s="294" t="s">
        <v>737</v>
      </c>
    </row>
    <row r="174" spans="1:23" ht="23.45" customHeight="1" x14ac:dyDescent="0.2">
      <c r="A174"/>
      <c r="B174"/>
      <c r="C174"/>
      <c r="D174"/>
      <c r="E174"/>
      <c r="F174"/>
      <c r="G174"/>
      <c r="H174"/>
      <c r="I174"/>
      <c r="J174"/>
    </row>
    <row r="175" spans="1:23" ht="29.1" customHeight="1" x14ac:dyDescent="0.2">
      <c r="A175" s="336" t="s">
        <v>386</v>
      </c>
      <c r="B175" s="336"/>
      <c r="C175" s="336"/>
      <c r="D175" s="336"/>
      <c r="E175" s="336"/>
      <c r="F175" s="336"/>
      <c r="G175" s="336"/>
      <c r="H175" s="336"/>
      <c r="I175" s="336"/>
      <c r="J175" s="336"/>
      <c r="K175" s="336"/>
      <c r="L175" s="336"/>
      <c r="M175" s="336"/>
      <c r="N175" s="336"/>
      <c r="O175" s="336"/>
    </row>
    <row r="176" spans="1:23" ht="29.1" customHeight="1" x14ac:dyDescent="0.2">
      <c r="A176" s="138" t="s">
        <v>387</v>
      </c>
      <c r="B176"/>
      <c r="C176"/>
      <c r="D176"/>
      <c r="E176"/>
      <c r="F176"/>
      <c r="G176"/>
      <c r="H176"/>
      <c r="I176"/>
      <c r="J176"/>
    </row>
    <row r="177" spans="1:23" ht="29.1" customHeight="1" x14ac:dyDescent="0.2">
      <c r="A177" s="342" t="s">
        <v>388</v>
      </c>
      <c r="B177" s="342"/>
      <c r="C177" s="342"/>
      <c r="D177" s="342"/>
      <c r="E177" s="342"/>
      <c r="F177" s="342"/>
      <c r="G177" s="342"/>
      <c r="H177" s="342"/>
      <c r="I177" s="342"/>
      <c r="J177" s="342"/>
      <c r="K177" s="342"/>
      <c r="L177" s="342"/>
      <c r="M177" s="342"/>
      <c r="N177" s="342"/>
      <c r="O177" s="342"/>
    </row>
    <row r="178" spans="1:23" ht="21.6" customHeight="1" x14ac:dyDescent="0.2">
      <c r="A178" s="308" t="s">
        <v>0</v>
      </c>
      <c r="B178" s="308"/>
      <c r="C178" s="308"/>
      <c r="D178" s="308"/>
      <c r="E178" s="308"/>
      <c r="F178" s="308"/>
      <c r="G178" s="308"/>
      <c r="H178" s="308"/>
      <c r="I178" s="308"/>
      <c r="J178" s="308"/>
      <c r="K178" s="308"/>
      <c r="L178" s="308"/>
      <c r="M178" s="308"/>
      <c r="N178" s="308"/>
      <c r="O178" s="308"/>
      <c r="P178" s="308"/>
    </row>
    <row r="179" spans="1:23" ht="50.45" customHeight="1" thickBot="1" x14ac:dyDescent="0.25">
      <c r="A179" s="308" t="s">
        <v>389</v>
      </c>
      <c r="B179" s="308"/>
      <c r="C179" s="308"/>
      <c r="D179" s="308"/>
      <c r="E179" s="308"/>
      <c r="F179" s="308"/>
      <c r="G179" s="308"/>
      <c r="H179" s="308"/>
      <c r="I179" s="308"/>
      <c r="J179" s="308"/>
      <c r="K179" s="308"/>
      <c r="L179" s="308"/>
      <c r="M179" s="308"/>
      <c r="N179" s="47"/>
    </row>
    <row r="180" spans="1:23" ht="24.6" customHeight="1" thickBot="1" x14ac:dyDescent="0.25">
      <c r="A180" s="310" t="s">
        <v>2</v>
      </c>
      <c r="B180" s="311"/>
      <c r="C180" s="311"/>
      <c r="D180" s="311"/>
      <c r="E180" s="311"/>
      <c r="F180" s="311"/>
      <c r="G180" s="311"/>
      <c r="H180" s="311"/>
      <c r="I180" s="311"/>
      <c r="J180" s="312"/>
      <c r="K180" s="334" t="s">
        <v>3</v>
      </c>
      <c r="L180" s="335"/>
      <c r="M180" s="335"/>
      <c r="N180" s="335"/>
      <c r="O180" s="335"/>
      <c r="P180" s="335"/>
      <c r="R180" s="266" t="s">
        <v>654</v>
      </c>
      <c r="U180" s="278"/>
      <c r="W180" s="305" t="s">
        <v>679</v>
      </c>
    </row>
    <row r="181" spans="1:23" ht="30.95" customHeight="1" thickBot="1" x14ac:dyDescent="0.25">
      <c r="A181" s="337" t="s">
        <v>4</v>
      </c>
      <c r="B181" s="71" t="s">
        <v>390</v>
      </c>
      <c r="C181" s="340" t="s">
        <v>6</v>
      </c>
      <c r="D181" s="341"/>
      <c r="E181" s="340" t="s">
        <v>6</v>
      </c>
      <c r="F181" s="341"/>
      <c r="G181" s="340" t="s">
        <v>6</v>
      </c>
      <c r="H181" s="341"/>
      <c r="I181" s="340" t="s">
        <v>6</v>
      </c>
      <c r="J181" s="341"/>
      <c r="K181" s="321" t="s">
        <v>7</v>
      </c>
      <c r="L181" s="322"/>
      <c r="M181" s="321" t="s">
        <v>8</v>
      </c>
      <c r="N181" s="323"/>
      <c r="O181" s="324" t="s">
        <v>9</v>
      </c>
      <c r="P181" s="327" t="s">
        <v>10</v>
      </c>
      <c r="R181" s="306" t="s">
        <v>607</v>
      </c>
      <c r="U181" s="279"/>
      <c r="W181" s="305"/>
    </row>
    <row r="182" spans="1:23" ht="30.95" customHeight="1" thickBot="1" x14ac:dyDescent="0.25">
      <c r="A182" s="338"/>
      <c r="B182" s="338" t="s">
        <v>11</v>
      </c>
      <c r="C182" s="343" t="s">
        <v>12</v>
      </c>
      <c r="D182" s="344"/>
      <c r="E182" s="343" t="s">
        <v>13</v>
      </c>
      <c r="F182" s="344"/>
      <c r="G182" s="343" t="s">
        <v>14</v>
      </c>
      <c r="H182" s="344"/>
      <c r="I182" s="343" t="s">
        <v>15</v>
      </c>
      <c r="J182" s="344"/>
      <c r="K182" s="321" t="s">
        <v>16</v>
      </c>
      <c r="L182" s="322"/>
      <c r="M182" s="321" t="s">
        <v>17</v>
      </c>
      <c r="N182" s="322"/>
      <c r="O182" s="325"/>
      <c r="P182" s="328"/>
      <c r="R182" s="306"/>
      <c r="U182" s="279"/>
      <c r="W182" s="305"/>
    </row>
    <row r="183" spans="1:23" ht="30.95" customHeight="1" thickBot="1" x14ac:dyDescent="0.25">
      <c r="A183" s="339"/>
      <c r="B183" s="339"/>
      <c r="C183" s="72" t="s">
        <v>18</v>
      </c>
      <c r="D183" s="72" t="s">
        <v>19</v>
      </c>
      <c r="E183" s="72" t="s">
        <v>18</v>
      </c>
      <c r="F183" s="72" t="s">
        <v>19</v>
      </c>
      <c r="G183" s="72" t="s">
        <v>18</v>
      </c>
      <c r="H183" s="72" t="s">
        <v>19</v>
      </c>
      <c r="I183" s="72" t="s">
        <v>18</v>
      </c>
      <c r="J183" s="72" t="s">
        <v>19</v>
      </c>
      <c r="K183" s="5" t="s">
        <v>20</v>
      </c>
      <c r="L183" s="248" t="s">
        <v>21</v>
      </c>
      <c r="M183" s="6" t="s">
        <v>22</v>
      </c>
      <c r="N183" s="7" t="s">
        <v>23</v>
      </c>
      <c r="O183" s="326"/>
      <c r="P183" s="326"/>
      <c r="R183" s="307"/>
      <c r="U183" s="279"/>
      <c r="W183" s="305"/>
    </row>
    <row r="184" spans="1:23" ht="95.45" customHeight="1" thickBot="1" x14ac:dyDescent="0.25">
      <c r="A184" s="48" t="s">
        <v>391</v>
      </c>
      <c r="B184" s="49" t="s">
        <v>392</v>
      </c>
      <c r="C184" s="97">
        <v>0.79</v>
      </c>
      <c r="D184" s="90">
        <v>0.80549999999999999</v>
      </c>
      <c r="E184" s="97">
        <v>0.81</v>
      </c>
      <c r="F184" s="90">
        <v>0.77900000000000003</v>
      </c>
      <c r="G184" s="97">
        <v>0.82</v>
      </c>
      <c r="H184" s="90">
        <v>0.78700000000000003</v>
      </c>
      <c r="I184" s="97">
        <v>0.83</v>
      </c>
      <c r="J184" s="105">
        <v>0.78900000000000003</v>
      </c>
      <c r="K184" s="120" t="s">
        <v>281</v>
      </c>
      <c r="L184" s="254"/>
      <c r="M184" s="21" t="s">
        <v>27</v>
      </c>
      <c r="N184" s="16">
        <f>J184/I184-1</f>
        <v>-4.9397590361445642E-2</v>
      </c>
      <c r="O184" s="290"/>
      <c r="P184" s="274" t="s">
        <v>393</v>
      </c>
      <c r="R184" s="228"/>
      <c r="W184" s="294" t="s">
        <v>715</v>
      </c>
    </row>
    <row r="185" spans="1:23" ht="147.6" customHeight="1" x14ac:dyDescent="0.2">
      <c r="A185" s="347" t="s">
        <v>394</v>
      </c>
      <c r="B185" s="349" t="s">
        <v>395</v>
      </c>
      <c r="C185" s="355" t="s">
        <v>396</v>
      </c>
      <c r="D185" s="355" t="s">
        <v>397</v>
      </c>
      <c r="E185" s="139" t="s">
        <v>398</v>
      </c>
      <c r="F185" s="355" t="s">
        <v>399</v>
      </c>
      <c r="G185" s="139" t="s">
        <v>398</v>
      </c>
      <c r="H185" s="355" t="s">
        <v>400</v>
      </c>
      <c r="I185" s="139" t="s">
        <v>398</v>
      </c>
      <c r="J185" s="368" t="s">
        <v>401</v>
      </c>
      <c r="K185" s="21">
        <f>4.62-3</f>
        <v>1.62</v>
      </c>
      <c r="L185" s="57">
        <f>4.62/3-1</f>
        <v>0.54</v>
      </c>
      <c r="M185" s="21" t="s">
        <v>650</v>
      </c>
      <c r="N185" s="57">
        <f>4.62/3-1</f>
        <v>0.54</v>
      </c>
      <c r="O185" s="292"/>
      <c r="P185" s="370">
        <v>4295</v>
      </c>
      <c r="R185" s="377" t="s">
        <v>624</v>
      </c>
      <c r="W185" s="294" t="s">
        <v>714</v>
      </c>
    </row>
    <row r="186" spans="1:23" ht="50.45" customHeight="1" thickBot="1" x14ac:dyDescent="0.25">
      <c r="A186" s="348"/>
      <c r="B186" s="350"/>
      <c r="C186" s="356"/>
      <c r="D186" s="356"/>
      <c r="E186" s="50" t="s">
        <v>402</v>
      </c>
      <c r="F186" s="356"/>
      <c r="G186" s="50" t="s">
        <v>402</v>
      </c>
      <c r="H186" s="356"/>
      <c r="I186" s="50" t="s">
        <v>402</v>
      </c>
      <c r="J186" s="369"/>
      <c r="K186" s="126"/>
      <c r="L186" s="255"/>
      <c r="M186" s="126"/>
      <c r="N186" s="140"/>
      <c r="O186" s="291"/>
      <c r="P186" s="371"/>
      <c r="R186" s="377"/>
    </row>
    <row r="187" spans="1:23" ht="102.6" customHeight="1" thickBot="1" x14ac:dyDescent="0.25">
      <c r="A187" s="48" t="s">
        <v>403</v>
      </c>
      <c r="B187" s="49" t="s">
        <v>404</v>
      </c>
      <c r="C187" s="97">
        <v>1</v>
      </c>
      <c r="D187" s="98">
        <v>1</v>
      </c>
      <c r="E187" s="97">
        <v>1</v>
      </c>
      <c r="F187" s="97">
        <v>1</v>
      </c>
      <c r="G187" s="97">
        <v>1</v>
      </c>
      <c r="H187" s="97">
        <v>1</v>
      </c>
      <c r="I187" s="97">
        <v>1</v>
      </c>
      <c r="J187" s="141">
        <v>1</v>
      </c>
      <c r="K187" s="21" t="s">
        <v>69</v>
      </c>
      <c r="L187" s="249"/>
      <c r="M187" s="60" t="s">
        <v>154</v>
      </c>
      <c r="N187" s="21" t="s">
        <v>69</v>
      </c>
      <c r="O187" s="291"/>
      <c r="P187" s="142" t="s">
        <v>405</v>
      </c>
      <c r="R187" s="228"/>
      <c r="W187" s="294" t="s">
        <v>738</v>
      </c>
    </row>
    <row r="188" spans="1:23" ht="219.95" customHeight="1" thickBot="1" x14ac:dyDescent="0.25">
      <c r="A188" s="48" t="s">
        <v>406</v>
      </c>
      <c r="B188" s="49" t="s">
        <v>407</v>
      </c>
      <c r="C188" s="97">
        <v>0.6</v>
      </c>
      <c r="D188" s="103">
        <v>0.46800000000000003</v>
      </c>
      <c r="E188" s="97">
        <v>0.62</v>
      </c>
      <c r="F188" s="90">
        <v>0.42309999999999998</v>
      </c>
      <c r="G188" s="97">
        <v>0.35</v>
      </c>
      <c r="H188" s="90">
        <v>0.1915</v>
      </c>
      <c r="I188" s="97">
        <v>0.25</v>
      </c>
      <c r="J188" s="105">
        <v>0.38500000000000001</v>
      </c>
      <c r="K188" s="120" t="s">
        <v>408</v>
      </c>
      <c r="L188" s="254"/>
      <c r="M188" s="21" t="s">
        <v>27</v>
      </c>
      <c r="N188" s="34" t="s">
        <v>409</v>
      </c>
      <c r="O188" s="291"/>
      <c r="P188" s="143" t="s">
        <v>410</v>
      </c>
      <c r="R188" s="228"/>
      <c r="W188" s="294" t="s">
        <v>713</v>
      </c>
    </row>
    <row r="189" spans="1:23" ht="110.1" customHeight="1" thickBot="1" x14ac:dyDescent="0.25">
      <c r="A189" s="48" t="s">
        <v>411</v>
      </c>
      <c r="B189" s="49" t="s">
        <v>412</v>
      </c>
      <c r="C189" s="97">
        <v>0.35</v>
      </c>
      <c r="D189" s="103">
        <v>0.28399999999999997</v>
      </c>
      <c r="E189" s="97">
        <v>0.45</v>
      </c>
      <c r="F189" s="104" t="s">
        <v>413</v>
      </c>
      <c r="G189" s="97">
        <v>0.55000000000000004</v>
      </c>
      <c r="H189" s="90">
        <v>0.51380000000000003</v>
      </c>
      <c r="I189" s="90">
        <v>0.63090000000000002</v>
      </c>
      <c r="J189" s="105">
        <v>0.62980000000000003</v>
      </c>
      <c r="K189" s="21" t="s">
        <v>69</v>
      </c>
      <c r="L189" s="249"/>
      <c r="M189" s="21" t="s">
        <v>27</v>
      </c>
      <c r="N189" s="21" t="s">
        <v>69</v>
      </c>
      <c r="O189" s="290"/>
      <c r="P189" s="276" t="s">
        <v>414</v>
      </c>
      <c r="R189" s="228"/>
      <c r="W189" s="294" t="s">
        <v>741</v>
      </c>
    </row>
    <row r="190" spans="1:23" ht="20.45" customHeight="1" x14ac:dyDescent="0.2">
      <c r="A190"/>
      <c r="B190"/>
      <c r="C190"/>
      <c r="D190"/>
      <c r="E190"/>
      <c r="F190"/>
      <c r="G190"/>
      <c r="H190"/>
      <c r="I190"/>
      <c r="J190"/>
    </row>
    <row r="191" spans="1:23" ht="20.45" customHeight="1" x14ac:dyDescent="0.2">
      <c r="A191" s="144" t="s">
        <v>415</v>
      </c>
      <c r="B191"/>
      <c r="C191"/>
      <c r="D191"/>
      <c r="E191"/>
      <c r="F191"/>
      <c r="G191"/>
      <c r="H191"/>
      <c r="I191"/>
      <c r="J191"/>
    </row>
    <row r="192" spans="1:23" ht="21.6" customHeight="1" x14ac:dyDescent="0.2">
      <c r="A192" s="308" t="s">
        <v>0</v>
      </c>
      <c r="B192" s="308"/>
      <c r="C192" s="308"/>
      <c r="D192" s="308"/>
      <c r="E192" s="308"/>
      <c r="F192" s="308"/>
      <c r="G192" s="308"/>
      <c r="H192" s="308"/>
      <c r="I192" s="308"/>
      <c r="J192" s="308"/>
      <c r="K192" s="308"/>
      <c r="L192" s="308"/>
      <c r="M192" s="308"/>
      <c r="N192" s="308"/>
      <c r="O192" s="308"/>
      <c r="P192" s="308"/>
    </row>
    <row r="193" spans="1:23" ht="50.45" customHeight="1" thickBot="1" x14ac:dyDescent="0.25">
      <c r="A193" s="308" t="s">
        <v>416</v>
      </c>
      <c r="B193" s="308"/>
      <c r="C193" s="308"/>
      <c r="D193" s="308"/>
      <c r="E193" s="308"/>
      <c r="F193" s="308"/>
      <c r="G193" s="308"/>
      <c r="H193" s="308"/>
      <c r="I193" s="308"/>
      <c r="J193" s="308"/>
      <c r="K193" s="308"/>
      <c r="L193" s="308"/>
      <c r="M193" s="308"/>
      <c r="N193" s="47"/>
    </row>
    <row r="194" spans="1:23" ht="23.45" customHeight="1" thickBot="1" x14ac:dyDescent="0.25">
      <c r="A194" s="310" t="s">
        <v>2</v>
      </c>
      <c r="B194" s="311"/>
      <c r="C194" s="311"/>
      <c r="D194" s="311"/>
      <c r="E194" s="311"/>
      <c r="F194" s="311"/>
      <c r="G194" s="311"/>
      <c r="H194" s="311"/>
      <c r="I194" s="311"/>
      <c r="J194" s="312"/>
      <c r="K194" s="334" t="s">
        <v>3</v>
      </c>
      <c r="L194" s="335"/>
      <c r="M194" s="335"/>
      <c r="N194" s="335"/>
      <c r="O194" s="335"/>
      <c r="P194" s="335"/>
      <c r="R194" s="266" t="s">
        <v>654</v>
      </c>
      <c r="U194" s="278"/>
      <c r="W194" s="305" t="s">
        <v>679</v>
      </c>
    </row>
    <row r="195" spans="1:23" ht="28.5" customHeight="1" thickBot="1" x14ac:dyDescent="0.25">
      <c r="A195" s="337" t="s">
        <v>4</v>
      </c>
      <c r="B195" s="71" t="s">
        <v>5</v>
      </c>
      <c r="C195" s="340" t="s">
        <v>6</v>
      </c>
      <c r="D195" s="341"/>
      <c r="E195" s="340" t="s">
        <v>6</v>
      </c>
      <c r="F195" s="341"/>
      <c r="G195" s="340" t="s">
        <v>6</v>
      </c>
      <c r="H195" s="341"/>
      <c r="I195" s="340" t="s">
        <v>6</v>
      </c>
      <c r="J195" s="341"/>
      <c r="K195" s="321" t="s">
        <v>7</v>
      </c>
      <c r="L195" s="322"/>
      <c r="M195" s="321" t="s">
        <v>8</v>
      </c>
      <c r="N195" s="323"/>
      <c r="O195" s="324" t="s">
        <v>9</v>
      </c>
      <c r="P195" s="327" t="s">
        <v>10</v>
      </c>
      <c r="R195" s="306" t="s">
        <v>607</v>
      </c>
      <c r="U195" s="279"/>
      <c r="W195" s="305"/>
    </row>
    <row r="196" spans="1:23" ht="28.5" customHeight="1" thickBot="1" x14ac:dyDescent="0.25">
      <c r="A196" s="338"/>
      <c r="B196" s="338" t="s">
        <v>11</v>
      </c>
      <c r="C196" s="343" t="s">
        <v>12</v>
      </c>
      <c r="D196" s="344"/>
      <c r="E196" s="343" t="s">
        <v>13</v>
      </c>
      <c r="F196" s="344"/>
      <c r="G196" s="343" t="s">
        <v>14</v>
      </c>
      <c r="H196" s="344"/>
      <c r="I196" s="343" t="s">
        <v>15</v>
      </c>
      <c r="J196" s="344"/>
      <c r="K196" s="321" t="s">
        <v>16</v>
      </c>
      <c r="L196" s="322"/>
      <c r="M196" s="321" t="s">
        <v>17</v>
      </c>
      <c r="N196" s="322"/>
      <c r="O196" s="325"/>
      <c r="P196" s="328"/>
      <c r="R196" s="306"/>
      <c r="U196" s="279"/>
      <c r="W196" s="305"/>
    </row>
    <row r="197" spans="1:23" ht="28.5" customHeight="1" thickBot="1" x14ac:dyDescent="0.25">
      <c r="A197" s="339"/>
      <c r="B197" s="339"/>
      <c r="C197" s="72" t="s">
        <v>18</v>
      </c>
      <c r="D197" s="72" t="s">
        <v>19</v>
      </c>
      <c r="E197" s="72" t="s">
        <v>18</v>
      </c>
      <c r="F197" s="72" t="s">
        <v>19</v>
      </c>
      <c r="G197" s="72" t="s">
        <v>18</v>
      </c>
      <c r="H197" s="72" t="s">
        <v>19</v>
      </c>
      <c r="I197" s="72" t="s">
        <v>18</v>
      </c>
      <c r="J197" s="72" t="s">
        <v>19</v>
      </c>
      <c r="K197" s="5" t="s">
        <v>20</v>
      </c>
      <c r="L197" s="248" t="s">
        <v>21</v>
      </c>
      <c r="M197" s="6" t="s">
        <v>22</v>
      </c>
      <c r="N197" s="7" t="s">
        <v>23</v>
      </c>
      <c r="O197" s="326"/>
      <c r="P197" s="326"/>
      <c r="R197" s="307"/>
      <c r="U197" s="279"/>
      <c r="W197" s="305"/>
    </row>
    <row r="198" spans="1:23" ht="110.45" customHeight="1" thickBot="1" x14ac:dyDescent="0.25">
      <c r="A198" s="145" t="s">
        <v>417</v>
      </c>
      <c r="B198" s="49" t="s">
        <v>418</v>
      </c>
      <c r="C198" s="50">
        <v>2</v>
      </c>
      <c r="D198" s="50">
        <v>0</v>
      </c>
      <c r="E198" s="50">
        <v>3</v>
      </c>
      <c r="F198" s="50">
        <v>0</v>
      </c>
      <c r="G198" s="50">
        <v>2</v>
      </c>
      <c r="H198" s="50">
        <v>7</v>
      </c>
      <c r="I198" s="50">
        <v>2</v>
      </c>
      <c r="J198" s="53" t="s">
        <v>419</v>
      </c>
      <c r="K198" s="21" t="s">
        <v>69</v>
      </c>
      <c r="L198" s="249"/>
      <c r="M198" s="20" t="s">
        <v>31</v>
      </c>
      <c r="N198" s="21" t="s">
        <v>69</v>
      </c>
      <c r="O198" s="290"/>
      <c r="P198" s="75" t="s">
        <v>53</v>
      </c>
      <c r="R198" s="228"/>
      <c r="W198" s="294" t="s">
        <v>742</v>
      </c>
    </row>
    <row r="199" spans="1:23" ht="83.45" customHeight="1" thickBot="1" x14ac:dyDescent="0.25">
      <c r="A199" s="145" t="s">
        <v>420</v>
      </c>
      <c r="B199" s="49" t="s">
        <v>421</v>
      </c>
      <c r="C199" s="97">
        <v>0.08</v>
      </c>
      <c r="D199" s="97">
        <v>0.04</v>
      </c>
      <c r="E199" s="97">
        <v>0.19</v>
      </c>
      <c r="F199" s="90">
        <v>0.42499999999999999</v>
      </c>
      <c r="G199" s="90">
        <v>0.4375</v>
      </c>
      <c r="H199" s="90">
        <v>0.92749999999999999</v>
      </c>
      <c r="I199" s="90">
        <v>0.29249999999999998</v>
      </c>
      <c r="J199" s="141">
        <v>1</v>
      </c>
      <c r="K199" s="259">
        <v>1</v>
      </c>
      <c r="L199" s="259">
        <v>1</v>
      </c>
      <c r="M199" s="21" t="s">
        <v>27</v>
      </c>
      <c r="N199" s="259">
        <v>1</v>
      </c>
      <c r="O199" s="27"/>
      <c r="P199" s="276" t="s">
        <v>53</v>
      </c>
      <c r="R199" s="220" t="s">
        <v>625</v>
      </c>
      <c r="W199" s="294" t="s">
        <v>716</v>
      </c>
    </row>
    <row r="200" spans="1:23" ht="138.6" customHeight="1" thickBot="1" x14ac:dyDescent="0.25">
      <c r="A200" s="145" t="s">
        <v>422</v>
      </c>
      <c r="B200" s="49" t="s">
        <v>423</v>
      </c>
      <c r="C200" s="50">
        <v>2</v>
      </c>
      <c r="D200" s="50">
        <v>0</v>
      </c>
      <c r="E200" s="50">
        <v>2</v>
      </c>
      <c r="F200" s="50">
        <v>0</v>
      </c>
      <c r="G200" s="50">
        <v>1</v>
      </c>
      <c r="H200" s="50">
        <v>0</v>
      </c>
      <c r="I200" s="50">
        <v>5</v>
      </c>
      <c r="J200" s="146">
        <v>0</v>
      </c>
      <c r="K200" s="20">
        <f>0-8</f>
        <v>-8</v>
      </c>
      <c r="L200" s="39">
        <f>K200/8</f>
        <v>-1</v>
      </c>
      <c r="M200" s="20" t="s">
        <v>92</v>
      </c>
      <c r="N200" s="16">
        <f>J200/I200-1</f>
        <v>-1</v>
      </c>
      <c r="O200" s="290"/>
      <c r="P200" s="275">
        <v>2522</v>
      </c>
      <c r="R200" s="221"/>
      <c r="W200" s="295" t="s">
        <v>740</v>
      </c>
    </row>
    <row r="201" spans="1:23" ht="104.45" customHeight="1" thickBot="1" x14ac:dyDescent="0.25">
      <c r="A201" s="145" t="s">
        <v>424</v>
      </c>
      <c r="B201" s="49" t="s">
        <v>425</v>
      </c>
      <c r="C201" s="50">
        <v>14</v>
      </c>
      <c r="D201" s="50">
        <v>11</v>
      </c>
      <c r="E201" s="50">
        <v>14</v>
      </c>
      <c r="F201" s="50">
        <v>25</v>
      </c>
      <c r="G201" s="50">
        <v>16</v>
      </c>
      <c r="H201" s="50">
        <v>16</v>
      </c>
      <c r="I201" s="50">
        <v>15</v>
      </c>
      <c r="J201" s="53" t="s">
        <v>426</v>
      </c>
      <c r="K201" s="20">
        <f>11-18</f>
        <v>-7</v>
      </c>
      <c r="L201" s="39">
        <f>K201/18</f>
        <v>-0.3888888888888889</v>
      </c>
      <c r="M201" s="20" t="s">
        <v>31</v>
      </c>
      <c r="N201" s="16">
        <f>11/I201-1</f>
        <v>-0.26666666666666672</v>
      </c>
      <c r="O201" s="292"/>
      <c r="P201" s="142" t="s">
        <v>427</v>
      </c>
      <c r="R201" s="220" t="s">
        <v>626</v>
      </c>
      <c r="W201" s="294" t="s">
        <v>739</v>
      </c>
    </row>
    <row r="202" spans="1:23" ht="69" customHeight="1" thickBot="1" x14ac:dyDescent="0.25">
      <c r="A202" s="145" t="s">
        <v>428</v>
      </c>
      <c r="B202" s="49" t="s">
        <v>429</v>
      </c>
      <c r="C202" s="50">
        <v>350</v>
      </c>
      <c r="D202" s="50">
        <v>291</v>
      </c>
      <c r="E202" s="50">
        <v>150</v>
      </c>
      <c r="F202" s="50">
        <v>214</v>
      </c>
      <c r="G202" s="50">
        <v>300</v>
      </c>
      <c r="H202" s="50">
        <v>346</v>
      </c>
      <c r="I202" s="50">
        <v>100</v>
      </c>
      <c r="J202" s="146">
        <v>138</v>
      </c>
      <c r="K202" s="21">
        <f>989-960</f>
        <v>29</v>
      </c>
      <c r="L202" s="249">
        <f>989/960-1</f>
        <v>3.0208333333333393E-2</v>
      </c>
      <c r="M202" s="20" t="s">
        <v>31</v>
      </c>
      <c r="N202" s="22">
        <f>J202/I202-1</f>
        <v>0.37999999999999989</v>
      </c>
      <c r="O202" s="292"/>
      <c r="P202" s="142" t="s">
        <v>430</v>
      </c>
      <c r="R202" s="222" t="s">
        <v>627</v>
      </c>
      <c r="W202" s="294" t="s">
        <v>717</v>
      </c>
    </row>
    <row r="203" spans="1:23" ht="117.6" customHeight="1" thickBot="1" x14ac:dyDescent="0.25">
      <c r="A203" s="145" t="s">
        <v>431</v>
      </c>
      <c r="B203" s="49" t="s">
        <v>432</v>
      </c>
      <c r="C203" s="50">
        <v>1</v>
      </c>
      <c r="D203" s="50">
        <v>0</v>
      </c>
      <c r="E203" s="50">
        <v>1</v>
      </c>
      <c r="F203" s="50">
        <v>0</v>
      </c>
      <c r="G203" s="50">
        <v>1</v>
      </c>
      <c r="H203" s="50">
        <v>1</v>
      </c>
      <c r="I203" s="50">
        <v>1</v>
      </c>
      <c r="J203" s="146">
        <v>1</v>
      </c>
      <c r="K203" s="20">
        <f>(D203+F203+H203+J203)-4</f>
        <v>-2</v>
      </c>
      <c r="L203" s="39">
        <f>K203/4</f>
        <v>-0.5</v>
      </c>
      <c r="M203" s="60" t="s">
        <v>154</v>
      </c>
      <c r="N203" s="21" t="s">
        <v>69</v>
      </c>
      <c r="O203" s="290"/>
      <c r="P203" s="147" t="s">
        <v>53</v>
      </c>
      <c r="R203" s="223"/>
      <c r="W203" s="294" t="s">
        <v>743</v>
      </c>
    </row>
    <row r="204" spans="1:23" ht="77.099999999999994" customHeight="1" thickBot="1" x14ac:dyDescent="0.25">
      <c r="A204" s="145" t="s">
        <v>433</v>
      </c>
      <c r="B204" s="49" t="s">
        <v>434</v>
      </c>
      <c r="C204" s="50">
        <v>350</v>
      </c>
      <c r="D204" s="50">
        <v>452</v>
      </c>
      <c r="E204" s="50">
        <v>385</v>
      </c>
      <c r="F204" s="50">
        <v>580</v>
      </c>
      <c r="G204" s="50">
        <v>475</v>
      </c>
      <c r="H204" s="50">
        <v>508</v>
      </c>
      <c r="I204" s="50">
        <v>505</v>
      </c>
      <c r="J204" s="146">
        <v>450</v>
      </c>
      <c r="K204" s="20">
        <f>J204-465</f>
        <v>-15</v>
      </c>
      <c r="L204" s="39">
        <f>K204/465</f>
        <v>-3.2258064516129031E-2</v>
      </c>
      <c r="M204" s="20" t="s">
        <v>31</v>
      </c>
      <c r="N204" s="16">
        <f>J204/I204-1</f>
        <v>-0.1089108910891089</v>
      </c>
      <c r="O204" s="290"/>
      <c r="P204" s="276" t="s">
        <v>435</v>
      </c>
      <c r="R204" s="223"/>
      <c r="W204" s="294" t="s">
        <v>718</v>
      </c>
    </row>
    <row r="205" spans="1:23" ht="89.1" customHeight="1" thickBot="1" x14ac:dyDescent="0.25">
      <c r="A205" s="145" t="s">
        <v>436</v>
      </c>
      <c r="B205" s="49" t="s">
        <v>437</v>
      </c>
      <c r="C205" s="50">
        <v>18</v>
      </c>
      <c r="D205" s="50">
        <v>15</v>
      </c>
      <c r="E205" s="50">
        <v>29</v>
      </c>
      <c r="F205" s="50">
        <v>28</v>
      </c>
      <c r="G205" s="50">
        <v>11</v>
      </c>
      <c r="H205" s="50">
        <v>33</v>
      </c>
      <c r="I205" s="50">
        <v>10</v>
      </c>
      <c r="J205" s="53" t="s">
        <v>438</v>
      </c>
      <c r="K205" s="21">
        <f>99-50</f>
        <v>49</v>
      </c>
      <c r="L205" s="57">
        <f>K205/50</f>
        <v>0.98</v>
      </c>
      <c r="M205" s="20" t="s">
        <v>31</v>
      </c>
      <c r="N205" s="22">
        <f>23/I205-1</f>
        <v>1.2999999999999998</v>
      </c>
      <c r="O205" s="27"/>
      <c r="P205" s="276" t="s">
        <v>439</v>
      </c>
      <c r="R205" s="220" t="s">
        <v>628</v>
      </c>
      <c r="W205" s="294" t="s">
        <v>719</v>
      </c>
    </row>
    <row r="206" spans="1:23" ht="135.94999999999999" customHeight="1" thickBot="1" x14ac:dyDescent="0.25">
      <c r="A206" s="145" t="s">
        <v>440</v>
      </c>
      <c r="B206" s="49" t="s">
        <v>441</v>
      </c>
      <c r="C206" s="55">
        <v>120000</v>
      </c>
      <c r="D206" s="55">
        <v>114973</v>
      </c>
      <c r="E206" s="55">
        <v>150000</v>
      </c>
      <c r="F206" s="50">
        <v>0</v>
      </c>
      <c r="G206" s="55">
        <v>150000</v>
      </c>
      <c r="H206" s="50">
        <v>0</v>
      </c>
      <c r="I206" s="55">
        <v>150000</v>
      </c>
      <c r="J206" s="53" t="s">
        <v>442</v>
      </c>
      <c r="K206" s="148">
        <f>D206-880000</f>
        <v>-765027</v>
      </c>
      <c r="L206" s="39">
        <f>K206/880000</f>
        <v>-0.86934886363636366</v>
      </c>
      <c r="M206" s="20" t="s">
        <v>92</v>
      </c>
      <c r="N206" s="16">
        <f>0/I206-1</f>
        <v>-1</v>
      </c>
      <c r="O206" s="290"/>
      <c r="P206" s="276">
        <v>4295</v>
      </c>
      <c r="R206" s="228"/>
      <c r="W206" s="294" t="s">
        <v>720</v>
      </c>
    </row>
    <row r="207" spans="1:23" ht="111.6" customHeight="1" thickBot="1" x14ac:dyDescent="0.25">
      <c r="A207" s="145" t="s">
        <v>443</v>
      </c>
      <c r="B207" s="49" t="s">
        <v>444</v>
      </c>
      <c r="C207" s="97">
        <v>0.5</v>
      </c>
      <c r="D207" s="90">
        <v>0.23400000000000001</v>
      </c>
      <c r="E207" s="97">
        <v>0.6</v>
      </c>
      <c r="F207" s="90">
        <v>0.2349</v>
      </c>
      <c r="G207" s="97">
        <v>0.4</v>
      </c>
      <c r="H207" s="90">
        <v>0.46</v>
      </c>
      <c r="I207" s="97">
        <v>0.7</v>
      </c>
      <c r="J207" s="105">
        <v>0.73350000000000004</v>
      </c>
      <c r="K207" s="38" t="s">
        <v>445</v>
      </c>
      <c r="L207" s="254"/>
      <c r="M207" s="21" t="s">
        <v>27</v>
      </c>
      <c r="N207" s="22">
        <f>J207/I207-1</f>
        <v>4.7857142857143042E-2</v>
      </c>
      <c r="O207" s="290"/>
      <c r="P207" s="276" t="s">
        <v>446</v>
      </c>
      <c r="R207" s="228"/>
      <c r="W207" s="294" t="s">
        <v>721</v>
      </c>
    </row>
    <row r="208" spans="1:23" ht="24.95" customHeight="1" x14ac:dyDescent="0.2">
      <c r="A208"/>
      <c r="B208"/>
      <c r="C208"/>
      <c r="D208"/>
      <c r="E208"/>
      <c r="F208"/>
      <c r="G208"/>
      <c r="H208"/>
      <c r="I208"/>
      <c r="J208"/>
    </row>
    <row r="209" spans="1:23" ht="30" customHeight="1" x14ac:dyDescent="0.2">
      <c r="A209" s="144" t="s">
        <v>447</v>
      </c>
      <c r="B209"/>
      <c r="C209"/>
      <c r="D209"/>
      <c r="E209"/>
      <c r="F209"/>
      <c r="G209"/>
      <c r="H209"/>
      <c r="I209"/>
      <c r="J209"/>
    </row>
    <row r="210" spans="1:23" ht="30" customHeight="1" x14ac:dyDescent="0.2">
      <c r="A210" s="144" t="s">
        <v>448</v>
      </c>
      <c r="B210"/>
      <c r="C210"/>
      <c r="D210"/>
      <c r="E210"/>
      <c r="F210"/>
      <c r="G210"/>
      <c r="H210"/>
      <c r="I210"/>
      <c r="J210"/>
    </row>
    <row r="211" spans="1:23" ht="30" customHeight="1" x14ac:dyDescent="0.2">
      <c r="A211" s="85" t="s">
        <v>449</v>
      </c>
      <c r="B211"/>
      <c r="C211"/>
      <c r="D211"/>
      <c r="E211"/>
      <c r="F211"/>
      <c r="G211"/>
      <c r="H211"/>
      <c r="I211"/>
      <c r="J211"/>
    </row>
    <row r="212" spans="1:23" ht="30" customHeight="1" x14ac:dyDescent="0.2">
      <c r="A212" s="342" t="s">
        <v>450</v>
      </c>
      <c r="B212" s="342"/>
      <c r="C212" s="342"/>
      <c r="D212" s="342"/>
      <c r="E212" s="342"/>
      <c r="F212" s="342"/>
      <c r="G212" s="342"/>
      <c r="H212" s="342"/>
      <c r="I212" s="342"/>
      <c r="J212" s="342"/>
      <c r="K212" s="342"/>
      <c r="L212" s="342"/>
      <c r="M212" s="342"/>
      <c r="N212" s="342"/>
      <c r="O212" s="342"/>
    </row>
    <row r="213" spans="1:23" ht="23.45" customHeight="1" x14ac:dyDescent="0.2">
      <c r="A213" s="308" t="s">
        <v>0</v>
      </c>
      <c r="B213" s="308"/>
      <c r="C213" s="308"/>
      <c r="D213" s="308"/>
      <c r="E213" s="308"/>
      <c r="F213" s="308"/>
      <c r="G213" s="308"/>
      <c r="H213" s="308"/>
      <c r="I213" s="308"/>
      <c r="J213" s="308"/>
      <c r="K213" s="308"/>
      <c r="L213" s="308"/>
      <c r="M213" s="308"/>
      <c r="N213" s="308"/>
      <c r="O213" s="308"/>
      <c r="P213" s="308"/>
    </row>
    <row r="214" spans="1:23" ht="50.45" customHeight="1" thickBot="1" x14ac:dyDescent="0.25">
      <c r="A214" s="308" t="s">
        <v>451</v>
      </c>
      <c r="B214" s="308"/>
      <c r="C214" s="308"/>
      <c r="D214" s="308"/>
      <c r="E214" s="308"/>
      <c r="F214" s="308"/>
      <c r="G214" s="308"/>
      <c r="H214" s="308"/>
      <c r="I214" s="308"/>
      <c r="J214" s="308"/>
      <c r="K214" s="308"/>
      <c r="L214" s="308"/>
      <c r="M214" s="308"/>
      <c r="N214" s="47"/>
    </row>
    <row r="215" spans="1:23" ht="24.6" customHeight="1" thickBot="1" x14ac:dyDescent="0.25">
      <c r="A215" s="310" t="s">
        <v>2</v>
      </c>
      <c r="B215" s="311"/>
      <c r="C215" s="311"/>
      <c r="D215" s="311"/>
      <c r="E215" s="311"/>
      <c r="F215" s="311"/>
      <c r="G215" s="311"/>
      <c r="H215" s="311"/>
      <c r="I215" s="311"/>
      <c r="J215" s="312"/>
      <c r="K215" s="334" t="s">
        <v>3</v>
      </c>
      <c r="L215" s="335"/>
      <c r="M215" s="335"/>
      <c r="N215" s="335"/>
      <c r="O215" s="335"/>
      <c r="P215" s="335"/>
      <c r="R215" s="266" t="s">
        <v>654</v>
      </c>
      <c r="U215" s="278"/>
      <c r="W215" s="305" t="s">
        <v>679</v>
      </c>
    </row>
    <row r="216" spans="1:23" ht="29.45" customHeight="1" thickBot="1" x14ac:dyDescent="0.25">
      <c r="A216" s="337" t="s">
        <v>4</v>
      </c>
      <c r="B216" s="71" t="s">
        <v>390</v>
      </c>
      <c r="C216" s="340" t="s">
        <v>6</v>
      </c>
      <c r="D216" s="341"/>
      <c r="E216" s="340" t="s">
        <v>6</v>
      </c>
      <c r="F216" s="341"/>
      <c r="G216" s="340" t="s">
        <v>6</v>
      </c>
      <c r="H216" s="341"/>
      <c r="I216" s="340" t="s">
        <v>6</v>
      </c>
      <c r="J216" s="341"/>
      <c r="K216" s="321" t="s">
        <v>7</v>
      </c>
      <c r="L216" s="322"/>
      <c r="M216" s="321" t="s">
        <v>8</v>
      </c>
      <c r="N216" s="323"/>
      <c r="O216" s="324" t="s">
        <v>9</v>
      </c>
      <c r="P216" s="327" t="s">
        <v>10</v>
      </c>
      <c r="R216" s="306" t="s">
        <v>607</v>
      </c>
      <c r="U216" s="279"/>
      <c r="W216" s="305"/>
    </row>
    <row r="217" spans="1:23" ht="29.45" customHeight="1" thickBot="1" x14ac:dyDescent="0.25">
      <c r="A217" s="338"/>
      <c r="B217" s="338" t="s">
        <v>11</v>
      </c>
      <c r="C217" s="343" t="s">
        <v>12</v>
      </c>
      <c r="D217" s="344"/>
      <c r="E217" s="343" t="s">
        <v>13</v>
      </c>
      <c r="F217" s="344"/>
      <c r="G217" s="343" t="s">
        <v>14</v>
      </c>
      <c r="H217" s="344"/>
      <c r="I217" s="343" t="s">
        <v>15</v>
      </c>
      <c r="J217" s="344"/>
      <c r="K217" s="321" t="s">
        <v>16</v>
      </c>
      <c r="L217" s="322"/>
      <c r="M217" s="321" t="s">
        <v>17</v>
      </c>
      <c r="N217" s="322"/>
      <c r="O217" s="325"/>
      <c r="P217" s="328"/>
      <c r="R217" s="306"/>
      <c r="U217" s="279"/>
      <c r="W217" s="305"/>
    </row>
    <row r="218" spans="1:23" ht="29.45" customHeight="1" thickBot="1" x14ac:dyDescent="0.25">
      <c r="A218" s="339"/>
      <c r="B218" s="339"/>
      <c r="C218" s="72" t="s">
        <v>18</v>
      </c>
      <c r="D218" s="72" t="s">
        <v>19</v>
      </c>
      <c r="E218" s="72" t="s">
        <v>18</v>
      </c>
      <c r="F218" s="72" t="s">
        <v>19</v>
      </c>
      <c r="G218" s="72" t="s">
        <v>18</v>
      </c>
      <c r="H218" s="72" t="s">
        <v>19</v>
      </c>
      <c r="I218" s="72" t="s">
        <v>18</v>
      </c>
      <c r="J218" s="72" t="s">
        <v>19</v>
      </c>
      <c r="K218" s="5" t="s">
        <v>20</v>
      </c>
      <c r="L218" s="248" t="s">
        <v>21</v>
      </c>
      <c r="M218" s="6" t="s">
        <v>22</v>
      </c>
      <c r="N218" s="7" t="s">
        <v>23</v>
      </c>
      <c r="O218" s="326"/>
      <c r="P218" s="326"/>
      <c r="R218" s="307"/>
      <c r="U218" s="279"/>
      <c r="W218" s="305"/>
    </row>
    <row r="219" spans="1:23" ht="72.599999999999994" customHeight="1" thickBot="1" x14ac:dyDescent="0.25">
      <c r="A219" s="48" t="s">
        <v>452</v>
      </c>
      <c r="B219" s="49" t="s">
        <v>453</v>
      </c>
      <c r="C219" s="97">
        <v>0.85</v>
      </c>
      <c r="D219" s="90">
        <v>0.81299999999999994</v>
      </c>
      <c r="E219" s="102">
        <v>0.85499999999999998</v>
      </c>
      <c r="F219" s="90">
        <v>0.90100000000000002</v>
      </c>
      <c r="G219" s="97">
        <v>0.86</v>
      </c>
      <c r="H219" s="90">
        <v>0.8851</v>
      </c>
      <c r="I219" s="97">
        <v>0.75</v>
      </c>
      <c r="J219" s="53" t="s">
        <v>454</v>
      </c>
      <c r="K219" s="34" t="s">
        <v>317</v>
      </c>
      <c r="L219" s="249"/>
      <c r="M219" s="20" t="s">
        <v>31</v>
      </c>
      <c r="N219" s="34" t="s">
        <v>455</v>
      </c>
      <c r="O219" s="290"/>
      <c r="P219" s="75">
        <v>8719</v>
      </c>
      <c r="R219" s="228"/>
      <c r="W219" s="294" t="s">
        <v>722</v>
      </c>
    </row>
    <row r="220" spans="1:23" ht="72.599999999999994" customHeight="1" thickBot="1" x14ac:dyDescent="0.25">
      <c r="A220" s="48" t="s">
        <v>456</v>
      </c>
      <c r="B220" s="49" t="s">
        <v>457</v>
      </c>
      <c r="C220" s="50" t="s">
        <v>458</v>
      </c>
      <c r="D220" s="50" t="s">
        <v>459</v>
      </c>
      <c r="E220" s="51" t="s">
        <v>460</v>
      </c>
      <c r="F220" s="123" t="s">
        <v>461</v>
      </c>
      <c r="G220" s="50" t="s">
        <v>458</v>
      </c>
      <c r="H220" s="50" t="s">
        <v>462</v>
      </c>
      <c r="I220" s="50" t="s">
        <v>458</v>
      </c>
      <c r="J220" s="146" t="s">
        <v>463</v>
      </c>
      <c r="K220" s="38" t="s">
        <v>464</v>
      </c>
      <c r="L220" s="254"/>
      <c r="M220" s="38" t="s">
        <v>27</v>
      </c>
      <c r="N220" s="38" t="s">
        <v>465</v>
      </c>
      <c r="O220" s="290"/>
      <c r="P220" s="276">
        <v>8719</v>
      </c>
      <c r="R220" s="228"/>
      <c r="W220" s="294" t="s">
        <v>744</v>
      </c>
    </row>
    <row r="221" spans="1:23" ht="72.599999999999994" customHeight="1" thickBot="1" x14ac:dyDescent="0.25">
      <c r="A221" s="48" t="s">
        <v>466</v>
      </c>
      <c r="B221" s="49" t="s">
        <v>467</v>
      </c>
      <c r="C221" s="97">
        <v>0.45</v>
      </c>
      <c r="D221" s="90">
        <v>0.63300000000000001</v>
      </c>
      <c r="E221" s="101">
        <v>0.5</v>
      </c>
      <c r="F221" s="103">
        <v>0.58299999999999996</v>
      </c>
      <c r="G221" s="97">
        <v>0.55000000000000004</v>
      </c>
      <c r="H221" s="90">
        <v>0.79600000000000004</v>
      </c>
      <c r="I221" s="97">
        <v>0.7</v>
      </c>
      <c r="J221" s="105">
        <v>0.91210000000000002</v>
      </c>
      <c r="K221" s="34" t="s">
        <v>468</v>
      </c>
      <c r="L221" s="249"/>
      <c r="M221" s="21" t="s">
        <v>27</v>
      </c>
      <c r="N221" s="34" t="s">
        <v>469</v>
      </c>
      <c r="O221" s="290"/>
      <c r="P221" s="276">
        <v>8719</v>
      </c>
      <c r="R221" s="228"/>
      <c r="W221" s="294" t="s">
        <v>723</v>
      </c>
    </row>
    <row r="222" spans="1:23" ht="89.1" customHeight="1" thickBot="1" x14ac:dyDescent="0.25">
      <c r="A222" s="48" t="s">
        <v>470</v>
      </c>
      <c r="B222" s="49" t="s">
        <v>471</v>
      </c>
      <c r="C222" s="50">
        <v>4</v>
      </c>
      <c r="D222" s="50">
        <v>0</v>
      </c>
      <c r="E222" s="51">
        <v>6</v>
      </c>
      <c r="F222" s="121">
        <v>0</v>
      </c>
      <c r="G222" s="50">
        <v>8</v>
      </c>
      <c r="H222" s="51">
        <v>3</v>
      </c>
      <c r="I222" s="51">
        <v>10</v>
      </c>
      <c r="J222" s="146">
        <v>3</v>
      </c>
      <c r="K222" s="20">
        <f>H222-10</f>
        <v>-7</v>
      </c>
      <c r="L222" s="39">
        <f>K222/10</f>
        <v>-0.7</v>
      </c>
      <c r="M222" s="60" t="s">
        <v>154</v>
      </c>
      <c r="N222" s="16">
        <f>J222/I222-1</f>
        <v>-0.7</v>
      </c>
      <c r="O222" s="290"/>
      <c r="P222" s="276">
        <v>8719</v>
      </c>
      <c r="R222" s="228"/>
      <c r="W222" s="294" t="s">
        <v>745</v>
      </c>
    </row>
    <row r="223" spans="1:23" ht="72.599999999999994" customHeight="1" thickBot="1" x14ac:dyDescent="0.25">
      <c r="A223" s="48" t="s">
        <v>472</v>
      </c>
      <c r="B223" s="49" t="s">
        <v>473</v>
      </c>
      <c r="C223" s="50">
        <v>6</v>
      </c>
      <c r="D223" s="50">
        <v>2</v>
      </c>
      <c r="E223" s="51">
        <v>6</v>
      </c>
      <c r="F223" s="123">
        <v>2</v>
      </c>
      <c r="G223" s="50">
        <v>1</v>
      </c>
      <c r="H223" s="50">
        <v>0</v>
      </c>
      <c r="I223" s="50">
        <v>1</v>
      </c>
      <c r="J223" s="53" t="s">
        <v>474</v>
      </c>
      <c r="K223" s="21" t="s">
        <v>69</v>
      </c>
      <c r="L223" s="57"/>
      <c r="M223" s="21" t="s">
        <v>27</v>
      </c>
      <c r="N223" s="22">
        <f>2/I223-1</f>
        <v>1</v>
      </c>
      <c r="O223" s="27"/>
      <c r="P223" s="276">
        <v>8719</v>
      </c>
      <c r="R223" s="220" t="s">
        <v>629</v>
      </c>
      <c r="W223" s="294" t="s">
        <v>724</v>
      </c>
    </row>
    <row r="224" spans="1:23" ht="20.45" customHeight="1" x14ac:dyDescent="0.2">
      <c r="A224"/>
      <c r="B224"/>
      <c r="C224"/>
      <c r="D224"/>
      <c r="E224"/>
      <c r="F224"/>
      <c r="G224"/>
      <c r="H224"/>
      <c r="I224"/>
      <c r="J224"/>
    </row>
    <row r="225" spans="1:23" ht="26.1" customHeight="1" x14ac:dyDescent="0.2">
      <c r="A225" s="342" t="s">
        <v>475</v>
      </c>
      <c r="B225" s="342"/>
      <c r="C225" s="342"/>
      <c r="D225" s="342"/>
      <c r="E225" s="342"/>
      <c r="F225" s="342"/>
      <c r="G225" s="342"/>
      <c r="H225" s="342"/>
      <c r="I225" s="342"/>
      <c r="J225" s="342"/>
      <c r="K225" s="342"/>
      <c r="L225" s="342"/>
      <c r="M225" s="342"/>
      <c r="N225" s="342"/>
      <c r="O225" s="342"/>
    </row>
    <row r="226" spans="1:23" ht="26.1" customHeight="1" x14ac:dyDescent="0.2">
      <c r="A226" s="342" t="s">
        <v>476</v>
      </c>
      <c r="B226" s="342"/>
      <c r="C226" s="342"/>
      <c r="D226" s="342"/>
      <c r="E226" s="342"/>
      <c r="F226" s="342"/>
      <c r="G226" s="342"/>
      <c r="H226" s="342"/>
      <c r="I226" s="342"/>
      <c r="J226" s="342"/>
      <c r="K226" s="342"/>
      <c r="L226" s="342"/>
      <c r="M226" s="342"/>
      <c r="N226" s="342"/>
      <c r="O226" s="342"/>
    </row>
    <row r="227" spans="1:23" ht="22.5" customHeight="1" x14ac:dyDescent="0.2">
      <c r="A227" s="308" t="s">
        <v>0</v>
      </c>
      <c r="B227" s="308"/>
      <c r="C227" s="308"/>
      <c r="D227" s="308"/>
      <c r="E227" s="308"/>
      <c r="F227" s="308"/>
      <c r="G227" s="308"/>
      <c r="H227" s="308"/>
      <c r="I227" s="308"/>
      <c r="J227" s="308"/>
      <c r="K227" s="308"/>
      <c r="L227" s="308"/>
      <c r="M227" s="308"/>
      <c r="N227" s="308"/>
      <c r="O227" s="308"/>
      <c r="P227" s="308"/>
    </row>
    <row r="228" spans="1:23" ht="50.45" customHeight="1" thickBot="1" x14ac:dyDescent="0.25">
      <c r="A228" s="308" t="s">
        <v>477</v>
      </c>
      <c r="B228" s="308"/>
      <c r="C228" s="308"/>
      <c r="D228" s="308"/>
      <c r="E228" s="308"/>
      <c r="F228" s="308"/>
      <c r="G228" s="308"/>
      <c r="H228" s="308"/>
      <c r="I228" s="308"/>
      <c r="J228" s="308"/>
      <c r="K228" s="308"/>
      <c r="L228" s="308"/>
      <c r="M228" s="308"/>
      <c r="N228" s="47"/>
    </row>
    <row r="229" spans="1:23" ht="23.45" customHeight="1" thickBot="1" x14ac:dyDescent="0.25">
      <c r="A229" s="310" t="s">
        <v>2</v>
      </c>
      <c r="B229" s="311"/>
      <c r="C229" s="311"/>
      <c r="D229" s="311"/>
      <c r="E229" s="311"/>
      <c r="F229" s="311"/>
      <c r="G229" s="311"/>
      <c r="H229" s="311"/>
      <c r="I229" s="311"/>
      <c r="J229" s="312"/>
      <c r="K229" s="334" t="s">
        <v>3</v>
      </c>
      <c r="L229" s="335"/>
      <c r="M229" s="335"/>
      <c r="N229" s="335"/>
      <c r="O229" s="335"/>
      <c r="P229" s="335"/>
      <c r="R229" s="266" t="s">
        <v>654</v>
      </c>
      <c r="U229" s="278"/>
      <c r="W229" s="305" t="s">
        <v>679</v>
      </c>
    </row>
    <row r="230" spans="1:23" ht="29.1" customHeight="1" thickBot="1" x14ac:dyDescent="0.25">
      <c r="A230" s="337" t="s">
        <v>4</v>
      </c>
      <c r="B230" s="149" t="s">
        <v>5</v>
      </c>
      <c r="C230" s="340" t="s">
        <v>6</v>
      </c>
      <c r="D230" s="341"/>
      <c r="E230" s="340" t="s">
        <v>6</v>
      </c>
      <c r="F230" s="341"/>
      <c r="G230" s="340" t="s">
        <v>6</v>
      </c>
      <c r="H230" s="341"/>
      <c r="I230" s="340" t="s">
        <v>6</v>
      </c>
      <c r="J230" s="341"/>
      <c r="K230" s="321" t="s">
        <v>7</v>
      </c>
      <c r="L230" s="322"/>
      <c r="M230" s="321" t="s">
        <v>8</v>
      </c>
      <c r="N230" s="323"/>
      <c r="O230" s="324" t="s">
        <v>9</v>
      </c>
      <c r="P230" s="327" t="s">
        <v>10</v>
      </c>
      <c r="R230" s="306" t="s">
        <v>607</v>
      </c>
      <c r="U230" s="279"/>
      <c r="W230" s="305"/>
    </row>
    <row r="231" spans="1:23" ht="29.1" customHeight="1" thickBot="1" x14ac:dyDescent="0.25">
      <c r="A231" s="338"/>
      <c r="B231" s="338" t="s">
        <v>11</v>
      </c>
      <c r="C231" s="343" t="s">
        <v>12</v>
      </c>
      <c r="D231" s="344"/>
      <c r="E231" s="343" t="s">
        <v>13</v>
      </c>
      <c r="F231" s="344"/>
      <c r="G231" s="343" t="s">
        <v>14</v>
      </c>
      <c r="H231" s="344"/>
      <c r="I231" s="343" t="s">
        <v>15</v>
      </c>
      <c r="J231" s="344"/>
      <c r="K231" s="321" t="s">
        <v>16</v>
      </c>
      <c r="L231" s="322"/>
      <c r="M231" s="321" t="s">
        <v>17</v>
      </c>
      <c r="N231" s="322"/>
      <c r="O231" s="325"/>
      <c r="P231" s="328"/>
      <c r="R231" s="306"/>
      <c r="U231" s="279"/>
      <c r="W231" s="305"/>
    </row>
    <row r="232" spans="1:23" ht="29.1" customHeight="1" thickBot="1" x14ac:dyDescent="0.25">
      <c r="A232" s="339"/>
      <c r="B232" s="339"/>
      <c r="C232" s="71" t="s">
        <v>18</v>
      </c>
      <c r="D232" s="87" t="s">
        <v>19</v>
      </c>
      <c r="E232" s="72" t="s">
        <v>18</v>
      </c>
      <c r="F232" s="87" t="s">
        <v>19</v>
      </c>
      <c r="G232" s="72" t="s">
        <v>18</v>
      </c>
      <c r="H232" s="72" t="s">
        <v>19</v>
      </c>
      <c r="I232" s="72" t="s">
        <v>18</v>
      </c>
      <c r="J232" s="72" t="s">
        <v>19</v>
      </c>
      <c r="K232" s="5" t="s">
        <v>20</v>
      </c>
      <c r="L232" s="248" t="s">
        <v>21</v>
      </c>
      <c r="M232" s="6" t="s">
        <v>22</v>
      </c>
      <c r="N232" s="7" t="s">
        <v>23</v>
      </c>
      <c r="O232" s="326"/>
      <c r="P232" s="326"/>
      <c r="R232" s="307"/>
      <c r="U232" s="279"/>
      <c r="W232" s="305"/>
    </row>
    <row r="233" spans="1:23" ht="92.45" customHeight="1" thickBot="1" x14ac:dyDescent="0.25">
      <c r="A233" s="150" t="s">
        <v>478</v>
      </c>
      <c r="B233" s="151" t="s">
        <v>479</v>
      </c>
      <c r="C233" s="152">
        <v>0.25</v>
      </c>
      <c r="D233" s="97">
        <v>0</v>
      </c>
      <c r="E233" s="97">
        <v>0.4</v>
      </c>
      <c r="F233" s="97">
        <v>0.4</v>
      </c>
      <c r="G233" s="97">
        <v>0.7</v>
      </c>
      <c r="H233" s="97">
        <v>0.7</v>
      </c>
      <c r="I233" s="97">
        <v>1</v>
      </c>
      <c r="J233" s="141">
        <v>0.95</v>
      </c>
      <c r="K233" s="38" t="s">
        <v>480</v>
      </c>
      <c r="L233" s="254"/>
      <c r="M233" s="21" t="s">
        <v>27</v>
      </c>
      <c r="N233" s="38" t="s">
        <v>481</v>
      </c>
      <c r="O233" s="290"/>
      <c r="P233" s="274" t="s">
        <v>482</v>
      </c>
      <c r="R233" s="228"/>
      <c r="W233" s="294" t="s">
        <v>725</v>
      </c>
    </row>
    <row r="234" spans="1:23" ht="99" customHeight="1" thickBot="1" x14ac:dyDescent="0.25">
      <c r="A234" s="153" t="s">
        <v>483</v>
      </c>
      <c r="B234" s="154" t="s">
        <v>484</v>
      </c>
      <c r="C234" s="97">
        <v>0.65</v>
      </c>
      <c r="D234" s="90">
        <v>0.76339999999999997</v>
      </c>
      <c r="E234" s="97">
        <v>0.65</v>
      </c>
      <c r="F234" s="90">
        <v>0.98950000000000005</v>
      </c>
      <c r="G234" s="97">
        <v>0.7</v>
      </c>
      <c r="H234" s="90">
        <v>0.90920000000000001</v>
      </c>
      <c r="I234" s="97">
        <v>0.7</v>
      </c>
      <c r="J234" s="53" t="s">
        <v>651</v>
      </c>
      <c r="K234" s="260">
        <v>6.9099999999999995E-2</v>
      </c>
      <c r="L234" s="261">
        <f>76.91/70-1</f>
        <v>9.8714285714285754E-2</v>
      </c>
      <c r="M234" s="233" t="s">
        <v>31</v>
      </c>
      <c r="N234" s="261">
        <f>76.91/70-1</f>
        <v>9.8714285714285754E-2</v>
      </c>
      <c r="O234" s="27"/>
      <c r="P234" s="274" t="s">
        <v>482</v>
      </c>
      <c r="R234" s="230" t="s">
        <v>635</v>
      </c>
    </row>
    <row r="235" spans="1:23" ht="50.45" customHeight="1" thickBot="1" x14ac:dyDescent="0.25">
      <c r="A235" s="153" t="s">
        <v>485</v>
      </c>
      <c r="B235" s="154" t="s">
        <v>486</v>
      </c>
      <c r="C235" s="97">
        <v>0.25</v>
      </c>
      <c r="D235" s="97">
        <v>0</v>
      </c>
      <c r="E235" s="155">
        <v>0.5</v>
      </c>
      <c r="F235" s="155">
        <v>0.5</v>
      </c>
      <c r="G235" s="155">
        <v>1</v>
      </c>
      <c r="H235" s="155">
        <v>1</v>
      </c>
      <c r="I235" s="155">
        <v>1</v>
      </c>
      <c r="J235" s="156">
        <v>1</v>
      </c>
      <c r="K235" s="21" t="s">
        <v>69</v>
      </c>
      <c r="L235" s="249"/>
      <c r="M235" s="60" t="s">
        <v>154</v>
      </c>
      <c r="N235" s="21" t="s">
        <v>69</v>
      </c>
      <c r="O235" s="290"/>
      <c r="P235" s="157">
        <v>4339</v>
      </c>
      <c r="R235" s="228"/>
    </row>
    <row r="236" spans="1:23" ht="24.95" customHeight="1" x14ac:dyDescent="0.2">
      <c r="A236"/>
      <c r="B236"/>
      <c r="C236"/>
      <c r="D236"/>
      <c r="E236"/>
      <c r="F236"/>
      <c r="G236"/>
      <c r="H236"/>
      <c r="I236"/>
      <c r="J236"/>
      <c r="P236" s="158"/>
    </row>
    <row r="237" spans="1:23" ht="22.5" customHeight="1" x14ac:dyDescent="0.2">
      <c r="A237" s="342" t="s">
        <v>487</v>
      </c>
      <c r="B237" s="342"/>
      <c r="C237" s="342"/>
      <c r="D237" s="342"/>
      <c r="E237" s="342"/>
      <c r="F237" s="342"/>
      <c r="G237" s="342"/>
      <c r="H237" s="342"/>
      <c r="I237" s="342"/>
      <c r="J237" s="342"/>
      <c r="K237" s="342"/>
      <c r="L237" s="342"/>
      <c r="M237" s="342"/>
      <c r="N237" s="85"/>
    </row>
    <row r="238" spans="1:23" ht="22.5" customHeight="1" x14ac:dyDescent="0.2">
      <c r="A238" s="342" t="s">
        <v>488</v>
      </c>
      <c r="B238" s="342"/>
      <c r="C238" s="342"/>
      <c r="D238" s="342"/>
      <c r="E238" s="342"/>
      <c r="F238" s="342"/>
      <c r="G238" s="342"/>
      <c r="H238" s="342"/>
      <c r="I238" s="342"/>
      <c r="J238" s="342"/>
      <c r="K238" s="342"/>
      <c r="L238" s="342"/>
      <c r="M238" s="342"/>
      <c r="N238" s="85"/>
    </row>
    <row r="239" spans="1:23" ht="25.5" customHeight="1" x14ac:dyDescent="0.2">
      <c r="A239" s="308" t="s">
        <v>0</v>
      </c>
      <c r="B239" s="308"/>
      <c r="C239" s="308"/>
      <c r="D239" s="308"/>
      <c r="E239" s="308"/>
      <c r="F239" s="308"/>
      <c r="G239" s="308"/>
      <c r="H239" s="308"/>
      <c r="I239" s="308"/>
      <c r="J239" s="308"/>
      <c r="K239" s="308"/>
      <c r="L239" s="308"/>
      <c r="M239" s="308"/>
      <c r="N239" s="308"/>
      <c r="O239" s="308"/>
      <c r="P239" s="308"/>
    </row>
    <row r="240" spans="1:23" ht="50.45" customHeight="1" thickBot="1" x14ac:dyDescent="0.25">
      <c r="A240" s="308" t="s">
        <v>489</v>
      </c>
      <c r="B240" s="308"/>
      <c r="C240" s="308"/>
      <c r="D240" s="308"/>
      <c r="E240" s="308"/>
      <c r="F240" s="308"/>
      <c r="G240" s="308"/>
      <c r="H240" s="308"/>
      <c r="I240" s="308"/>
      <c r="J240" s="308"/>
      <c r="K240" s="308"/>
      <c r="L240" s="308"/>
      <c r="M240" s="308"/>
      <c r="N240" s="47"/>
    </row>
    <row r="241" spans="1:23" ht="23.45" customHeight="1" thickBot="1" x14ac:dyDescent="0.25">
      <c r="A241" s="310" t="s">
        <v>2</v>
      </c>
      <c r="B241" s="311"/>
      <c r="C241" s="311"/>
      <c r="D241" s="311"/>
      <c r="E241" s="311"/>
      <c r="F241" s="311"/>
      <c r="G241" s="311"/>
      <c r="H241" s="311"/>
      <c r="I241" s="311"/>
      <c r="J241" s="312"/>
      <c r="K241" s="334" t="s">
        <v>3</v>
      </c>
      <c r="L241" s="335"/>
      <c r="M241" s="335"/>
      <c r="N241" s="335"/>
      <c r="O241" s="335"/>
      <c r="P241" s="335"/>
      <c r="R241" s="266" t="s">
        <v>654</v>
      </c>
      <c r="U241" s="278"/>
      <c r="W241" s="305" t="s">
        <v>679</v>
      </c>
    </row>
    <row r="242" spans="1:23" ht="27.95" customHeight="1" thickBot="1" x14ac:dyDescent="0.25">
      <c r="A242" s="337" t="s">
        <v>4</v>
      </c>
      <c r="B242" s="71" t="s">
        <v>5</v>
      </c>
      <c r="C242" s="340" t="s">
        <v>6</v>
      </c>
      <c r="D242" s="341"/>
      <c r="E242" s="340" t="s">
        <v>6</v>
      </c>
      <c r="F242" s="341"/>
      <c r="G242" s="340" t="s">
        <v>6</v>
      </c>
      <c r="H242" s="341"/>
      <c r="I242" s="340" t="s">
        <v>6</v>
      </c>
      <c r="J242" s="341"/>
      <c r="K242" s="321" t="s">
        <v>7</v>
      </c>
      <c r="L242" s="322"/>
      <c r="M242" s="321" t="s">
        <v>8</v>
      </c>
      <c r="N242" s="323"/>
      <c r="O242" s="324" t="s">
        <v>9</v>
      </c>
      <c r="P242" s="327" t="s">
        <v>10</v>
      </c>
      <c r="R242" s="306" t="s">
        <v>607</v>
      </c>
      <c r="U242" s="279"/>
      <c r="W242" s="305"/>
    </row>
    <row r="243" spans="1:23" ht="27.95" customHeight="1" thickBot="1" x14ac:dyDescent="0.25">
      <c r="A243" s="338"/>
      <c r="B243" s="338" t="s">
        <v>11</v>
      </c>
      <c r="C243" s="343" t="s">
        <v>12</v>
      </c>
      <c r="D243" s="344"/>
      <c r="E243" s="343" t="s">
        <v>13</v>
      </c>
      <c r="F243" s="344"/>
      <c r="G243" s="343" t="s">
        <v>14</v>
      </c>
      <c r="H243" s="344"/>
      <c r="I243" s="343" t="s">
        <v>15</v>
      </c>
      <c r="J243" s="344"/>
      <c r="K243" s="321" t="s">
        <v>16</v>
      </c>
      <c r="L243" s="322"/>
      <c r="M243" s="321" t="s">
        <v>17</v>
      </c>
      <c r="N243" s="322"/>
      <c r="O243" s="325"/>
      <c r="P243" s="328"/>
      <c r="R243" s="306"/>
      <c r="U243" s="279"/>
      <c r="W243" s="305"/>
    </row>
    <row r="244" spans="1:23" ht="27.95" customHeight="1" thickBot="1" x14ac:dyDescent="0.25">
      <c r="A244" s="339"/>
      <c r="B244" s="339"/>
      <c r="C244" s="72" t="s">
        <v>18</v>
      </c>
      <c r="D244" s="72" t="s">
        <v>19</v>
      </c>
      <c r="E244" s="72" t="s">
        <v>18</v>
      </c>
      <c r="F244" s="72" t="s">
        <v>19</v>
      </c>
      <c r="G244" s="72" t="s">
        <v>18</v>
      </c>
      <c r="H244" s="72" t="s">
        <v>19</v>
      </c>
      <c r="I244" s="72" t="s">
        <v>18</v>
      </c>
      <c r="J244" s="72" t="s">
        <v>19</v>
      </c>
      <c r="K244" s="5" t="s">
        <v>20</v>
      </c>
      <c r="L244" s="248" t="s">
        <v>21</v>
      </c>
      <c r="M244" s="6" t="s">
        <v>22</v>
      </c>
      <c r="N244" s="7" t="s">
        <v>23</v>
      </c>
      <c r="O244" s="326"/>
      <c r="P244" s="326"/>
      <c r="R244" s="307"/>
      <c r="U244" s="279"/>
      <c r="W244" s="305"/>
    </row>
    <row r="245" spans="1:23" ht="81" customHeight="1" thickBot="1" x14ac:dyDescent="0.25">
      <c r="A245" s="153" t="s">
        <v>490</v>
      </c>
      <c r="B245" s="154" t="s">
        <v>491</v>
      </c>
      <c r="C245" s="55">
        <v>7000</v>
      </c>
      <c r="D245" s="56">
        <v>15114</v>
      </c>
      <c r="E245" s="55">
        <v>8000</v>
      </c>
      <c r="F245" s="56">
        <v>8754</v>
      </c>
      <c r="G245" s="55">
        <v>9000</v>
      </c>
      <c r="H245" s="55">
        <v>9697</v>
      </c>
      <c r="I245" s="55">
        <v>6386</v>
      </c>
      <c r="J245" s="128">
        <v>10974</v>
      </c>
      <c r="K245" s="35">
        <f>(D245+F245+H245+J245)-38500</f>
        <v>6039</v>
      </c>
      <c r="L245" s="57">
        <f>K245/38500</f>
        <v>0.15685714285714286</v>
      </c>
      <c r="M245" s="21" t="s">
        <v>27</v>
      </c>
      <c r="N245" s="22">
        <f>J245/I245-1</f>
        <v>0.71844660194174748</v>
      </c>
      <c r="O245" s="290"/>
      <c r="P245" s="75" t="s">
        <v>492</v>
      </c>
      <c r="W245" s="294" t="s">
        <v>726</v>
      </c>
    </row>
    <row r="246" spans="1:23" ht="67.5" customHeight="1" thickBot="1" x14ac:dyDescent="0.25">
      <c r="A246" s="153" t="s">
        <v>493</v>
      </c>
      <c r="B246" s="154" t="s">
        <v>494</v>
      </c>
      <c r="C246" s="55">
        <v>65000</v>
      </c>
      <c r="D246" s="159">
        <v>137774</v>
      </c>
      <c r="E246" s="55">
        <v>37128</v>
      </c>
      <c r="F246" s="56">
        <v>200633</v>
      </c>
      <c r="G246" s="55">
        <v>110000</v>
      </c>
      <c r="H246" s="55">
        <v>381912</v>
      </c>
      <c r="I246" s="55">
        <v>95098</v>
      </c>
      <c r="J246" s="128">
        <v>530154</v>
      </c>
      <c r="K246" s="35">
        <f>(D246+F246+H246+J246)-380000</f>
        <v>870473</v>
      </c>
      <c r="L246" s="57">
        <f>(1250473)/380000-1</f>
        <v>2.2907184210526315</v>
      </c>
      <c r="M246" s="21" t="s">
        <v>27</v>
      </c>
      <c r="N246" s="57">
        <f>J246/I246-1</f>
        <v>4.5748175566257965</v>
      </c>
      <c r="O246" s="27"/>
      <c r="P246" s="160" t="s">
        <v>495</v>
      </c>
      <c r="R246" s="224" t="s">
        <v>630</v>
      </c>
    </row>
    <row r="247" spans="1:23" ht="98.1" customHeight="1" thickBot="1" x14ac:dyDescent="0.25">
      <c r="A247" s="153" t="s">
        <v>496</v>
      </c>
      <c r="B247" s="154" t="s">
        <v>497</v>
      </c>
      <c r="C247" s="50">
        <v>25</v>
      </c>
      <c r="D247" s="51">
        <v>0</v>
      </c>
      <c r="E247" s="50">
        <v>25</v>
      </c>
      <c r="F247" s="50">
        <v>21</v>
      </c>
      <c r="G247" s="50">
        <v>50</v>
      </c>
      <c r="H247" s="50">
        <v>0</v>
      </c>
      <c r="I247" s="50">
        <v>0</v>
      </c>
      <c r="J247" s="146">
        <v>0</v>
      </c>
      <c r="K247" s="18">
        <f>(D247+F247+H247+J247)-100</f>
        <v>-79</v>
      </c>
      <c r="L247" s="39">
        <f>K247/100</f>
        <v>-0.79</v>
      </c>
      <c r="M247" s="20" t="s">
        <v>92</v>
      </c>
      <c r="N247" s="21" t="s">
        <v>69</v>
      </c>
      <c r="O247" s="290"/>
      <c r="P247" s="75" t="s">
        <v>243</v>
      </c>
      <c r="W247" s="294" t="s">
        <v>727</v>
      </c>
    </row>
    <row r="248" spans="1:23" ht="75.95" customHeight="1" thickBot="1" x14ac:dyDescent="0.25">
      <c r="A248" s="153" t="s">
        <v>498</v>
      </c>
      <c r="B248" s="154" t="s">
        <v>499</v>
      </c>
      <c r="C248" s="56">
        <v>2500</v>
      </c>
      <c r="D248" s="56">
        <v>5424</v>
      </c>
      <c r="E248" s="55">
        <v>2500</v>
      </c>
      <c r="F248" s="51">
        <v>0</v>
      </c>
      <c r="G248" s="55">
        <v>2076</v>
      </c>
      <c r="H248" s="55">
        <v>3942</v>
      </c>
      <c r="I248" s="50">
        <v>500</v>
      </c>
      <c r="J248" s="53" t="s">
        <v>135</v>
      </c>
      <c r="K248" s="35">
        <f>(D248+F248+H248+0)-8000</f>
        <v>1366</v>
      </c>
      <c r="L248" s="57">
        <f>K248/8000</f>
        <v>0.17075000000000001</v>
      </c>
      <c r="M248" s="20" t="s">
        <v>31</v>
      </c>
      <c r="N248" s="16">
        <f>0/I248-1</f>
        <v>-1</v>
      </c>
      <c r="O248" s="290"/>
      <c r="P248" s="276" t="s">
        <v>500</v>
      </c>
    </row>
    <row r="249" spans="1:23" ht="99" customHeight="1" thickBot="1" x14ac:dyDescent="0.25">
      <c r="A249" s="153" t="s">
        <v>501</v>
      </c>
      <c r="B249" s="154" t="s">
        <v>499</v>
      </c>
      <c r="C249" s="55">
        <v>1250</v>
      </c>
      <c r="D249" s="159">
        <v>2666</v>
      </c>
      <c r="E249" s="55">
        <v>3666</v>
      </c>
      <c r="F249" s="56">
        <v>2822</v>
      </c>
      <c r="G249" s="55">
        <v>1084</v>
      </c>
      <c r="H249" s="55">
        <v>2791</v>
      </c>
      <c r="I249" s="50">
        <v>500</v>
      </c>
      <c r="J249" s="128">
        <v>6486</v>
      </c>
      <c r="K249" s="35">
        <f>14765-5000</f>
        <v>9765</v>
      </c>
      <c r="L249" s="57">
        <f>14765/5000-1</f>
        <v>1.9529999999999998</v>
      </c>
      <c r="M249" s="21" t="s">
        <v>27</v>
      </c>
      <c r="N249" s="57">
        <f>J249/I249-1</f>
        <v>11.972</v>
      </c>
      <c r="O249" s="27"/>
      <c r="P249" s="75" t="s">
        <v>492</v>
      </c>
      <c r="R249" s="220" t="s">
        <v>631</v>
      </c>
    </row>
    <row r="250" spans="1:23" ht="57.95" customHeight="1" thickBot="1" x14ac:dyDescent="0.25">
      <c r="A250" s="153" t="s">
        <v>502</v>
      </c>
      <c r="B250" s="154" t="s">
        <v>499</v>
      </c>
      <c r="C250" s="55">
        <v>5000</v>
      </c>
      <c r="D250" s="159">
        <v>2524</v>
      </c>
      <c r="E250" s="55">
        <v>5000</v>
      </c>
      <c r="F250" s="56">
        <v>16028</v>
      </c>
      <c r="G250" s="55">
        <v>5000</v>
      </c>
      <c r="H250" s="55">
        <v>1865</v>
      </c>
      <c r="I250" s="55">
        <v>1000</v>
      </c>
      <c r="J250" s="53" t="s">
        <v>242</v>
      </c>
      <c r="K250" s="35">
        <f>(D250+F250+H250+0)-20000</f>
        <v>417</v>
      </c>
      <c r="L250" s="57">
        <f>K250/5000</f>
        <v>8.3400000000000002E-2</v>
      </c>
      <c r="M250" s="20" t="s">
        <v>31</v>
      </c>
      <c r="N250" s="16">
        <f>0/I250-1</f>
        <v>-1</v>
      </c>
      <c r="O250" s="290"/>
      <c r="P250" s="276" t="s">
        <v>503</v>
      </c>
    </row>
    <row r="251" spans="1:23" ht="20.100000000000001" customHeight="1" x14ac:dyDescent="0.2">
      <c r="A251"/>
      <c r="B251"/>
      <c r="C251"/>
      <c r="D251"/>
      <c r="E251"/>
      <c r="F251"/>
      <c r="G251"/>
      <c r="H251"/>
      <c r="I251"/>
      <c r="J251"/>
    </row>
    <row r="252" spans="1:23" s="68" customFormat="1" ht="22.5" customHeight="1" x14ac:dyDescent="0.2">
      <c r="A252" s="336" t="s">
        <v>504</v>
      </c>
      <c r="B252" s="336"/>
      <c r="C252" s="336"/>
      <c r="D252" s="336"/>
      <c r="E252" s="336"/>
      <c r="F252" s="336"/>
      <c r="G252" s="336"/>
      <c r="H252" s="336"/>
      <c r="I252" s="336"/>
      <c r="J252" s="336"/>
      <c r="K252" s="336"/>
      <c r="L252" s="336"/>
      <c r="M252" s="336"/>
      <c r="N252" s="336"/>
      <c r="O252" s="336"/>
      <c r="P252" s="272"/>
      <c r="R252" s="227"/>
      <c r="U252" s="281"/>
      <c r="W252" s="296"/>
    </row>
    <row r="253" spans="1:23" ht="22.5" customHeight="1" x14ac:dyDescent="0.2">
      <c r="A253" s="336" t="s">
        <v>505</v>
      </c>
      <c r="B253" s="336"/>
      <c r="C253" s="336"/>
      <c r="D253" s="336"/>
      <c r="E253" s="336"/>
      <c r="F253" s="336"/>
      <c r="G253" s="336"/>
      <c r="H253" s="336"/>
      <c r="I253" s="336"/>
      <c r="J253" s="336"/>
      <c r="K253" s="336"/>
      <c r="L253" s="336"/>
      <c r="M253" s="336"/>
      <c r="N253" s="336"/>
      <c r="O253" s="336"/>
    </row>
    <row r="254" spans="1:23" ht="21" customHeight="1" x14ac:dyDescent="0.2">
      <c r="A254" s="308" t="s">
        <v>0</v>
      </c>
      <c r="B254" s="308"/>
      <c r="C254" s="308"/>
      <c r="D254" s="308"/>
      <c r="E254" s="308"/>
      <c r="F254" s="308"/>
      <c r="G254" s="308"/>
      <c r="H254" s="308"/>
      <c r="I254" s="308"/>
      <c r="J254" s="308"/>
      <c r="K254" s="308"/>
      <c r="L254" s="308"/>
      <c r="M254" s="308"/>
      <c r="N254" s="308"/>
      <c r="O254" s="308"/>
      <c r="P254" s="308"/>
    </row>
    <row r="255" spans="1:23" ht="48.6" customHeight="1" thickBot="1" x14ac:dyDescent="0.25">
      <c r="A255" s="308" t="s">
        <v>506</v>
      </c>
      <c r="B255" s="308"/>
      <c r="C255" s="308"/>
      <c r="D255" s="308"/>
      <c r="E255" s="308"/>
      <c r="F255" s="308"/>
      <c r="G255" s="308"/>
      <c r="H255" s="308"/>
      <c r="I255" s="308"/>
      <c r="J255" s="308"/>
      <c r="K255" s="308"/>
      <c r="L255" s="308"/>
      <c r="M255" s="308"/>
      <c r="N255" s="47"/>
    </row>
    <row r="256" spans="1:23" ht="24.95" customHeight="1" thickBot="1" x14ac:dyDescent="0.25">
      <c r="A256" s="310" t="s">
        <v>2</v>
      </c>
      <c r="B256" s="311"/>
      <c r="C256" s="311"/>
      <c r="D256" s="311"/>
      <c r="E256" s="311"/>
      <c r="F256" s="311"/>
      <c r="G256" s="311"/>
      <c r="H256" s="311"/>
      <c r="I256" s="311"/>
      <c r="J256" s="312"/>
      <c r="K256" s="334" t="s">
        <v>3</v>
      </c>
      <c r="L256" s="335"/>
      <c r="M256" s="335"/>
      <c r="N256" s="335"/>
      <c r="O256" s="335"/>
      <c r="P256" s="335"/>
      <c r="R256" s="266" t="s">
        <v>654</v>
      </c>
      <c r="U256" s="278"/>
      <c r="W256" s="305" t="s">
        <v>679</v>
      </c>
    </row>
    <row r="257" spans="1:23" ht="27.95" customHeight="1" thickBot="1" x14ac:dyDescent="0.25">
      <c r="A257" s="337" t="s">
        <v>4</v>
      </c>
      <c r="B257" s="71" t="s">
        <v>390</v>
      </c>
      <c r="C257" s="340" t="s">
        <v>6</v>
      </c>
      <c r="D257" s="341"/>
      <c r="E257" s="340" t="s">
        <v>6</v>
      </c>
      <c r="F257" s="341"/>
      <c r="G257" s="340" t="s">
        <v>6</v>
      </c>
      <c r="H257" s="341"/>
      <c r="I257" s="340" t="s">
        <v>6</v>
      </c>
      <c r="J257" s="341"/>
      <c r="K257" s="321" t="s">
        <v>7</v>
      </c>
      <c r="L257" s="322"/>
      <c r="M257" s="321" t="s">
        <v>8</v>
      </c>
      <c r="N257" s="323"/>
      <c r="O257" s="324" t="s">
        <v>9</v>
      </c>
      <c r="P257" s="327" t="s">
        <v>10</v>
      </c>
      <c r="R257" s="306" t="s">
        <v>607</v>
      </c>
      <c r="U257" s="279"/>
      <c r="W257" s="305"/>
    </row>
    <row r="258" spans="1:23" ht="27.95" customHeight="1" thickBot="1" x14ac:dyDescent="0.25">
      <c r="A258" s="338"/>
      <c r="B258" s="338" t="s">
        <v>11</v>
      </c>
      <c r="C258" s="343" t="s">
        <v>12</v>
      </c>
      <c r="D258" s="344"/>
      <c r="E258" s="343" t="s">
        <v>13</v>
      </c>
      <c r="F258" s="344"/>
      <c r="G258" s="343" t="s">
        <v>14</v>
      </c>
      <c r="H258" s="344"/>
      <c r="I258" s="343" t="s">
        <v>15</v>
      </c>
      <c r="J258" s="344"/>
      <c r="K258" s="321" t="s">
        <v>16</v>
      </c>
      <c r="L258" s="322"/>
      <c r="M258" s="321" t="s">
        <v>17</v>
      </c>
      <c r="N258" s="322"/>
      <c r="O258" s="325"/>
      <c r="P258" s="328"/>
      <c r="R258" s="306"/>
      <c r="U258" s="279"/>
      <c r="W258" s="305"/>
    </row>
    <row r="259" spans="1:23" ht="27.95" customHeight="1" thickBot="1" x14ac:dyDescent="0.25">
      <c r="A259" s="339"/>
      <c r="B259" s="339"/>
      <c r="C259" s="72" t="s">
        <v>18</v>
      </c>
      <c r="D259" s="72" t="s">
        <v>19</v>
      </c>
      <c r="E259" s="72" t="s">
        <v>18</v>
      </c>
      <c r="F259" s="72" t="s">
        <v>19</v>
      </c>
      <c r="G259" s="72" t="s">
        <v>18</v>
      </c>
      <c r="H259" s="72" t="s">
        <v>19</v>
      </c>
      <c r="I259" s="72" t="s">
        <v>18</v>
      </c>
      <c r="J259" s="72" t="s">
        <v>19</v>
      </c>
      <c r="K259" s="5" t="s">
        <v>20</v>
      </c>
      <c r="L259" s="248" t="s">
        <v>21</v>
      </c>
      <c r="M259" s="6" t="s">
        <v>22</v>
      </c>
      <c r="N259" s="7" t="s">
        <v>23</v>
      </c>
      <c r="O259" s="326"/>
      <c r="P259" s="326"/>
      <c r="R259" s="307"/>
      <c r="U259" s="279"/>
      <c r="W259" s="305"/>
    </row>
    <row r="260" spans="1:23" ht="239.1" customHeight="1" thickBot="1" x14ac:dyDescent="0.25">
      <c r="A260" s="48" t="s">
        <v>507</v>
      </c>
      <c r="B260" s="49" t="s">
        <v>508</v>
      </c>
      <c r="C260" s="55">
        <v>20000</v>
      </c>
      <c r="D260" s="55">
        <v>12848</v>
      </c>
      <c r="E260" s="55">
        <v>35000</v>
      </c>
      <c r="F260" s="55">
        <v>26138</v>
      </c>
      <c r="G260" s="55">
        <v>50000</v>
      </c>
      <c r="H260" s="55">
        <v>43266</v>
      </c>
      <c r="I260" s="55">
        <v>68215</v>
      </c>
      <c r="J260" s="128">
        <v>54108</v>
      </c>
      <c r="K260" s="18">
        <f>J260-68215</f>
        <v>-14107</v>
      </c>
      <c r="L260" s="39">
        <f>K260/68215</f>
        <v>-0.2068020230154658</v>
      </c>
      <c r="M260" s="21" t="s">
        <v>27</v>
      </c>
      <c r="N260" s="16">
        <f>J260/I260-1</f>
        <v>-0.2068020230154658</v>
      </c>
      <c r="O260" s="290"/>
      <c r="P260" s="75" t="s">
        <v>509</v>
      </c>
      <c r="R260" s="228"/>
      <c r="U260" s="282"/>
      <c r="W260" s="298" t="s">
        <v>746</v>
      </c>
    </row>
    <row r="261" spans="1:23" ht="64.5" customHeight="1" x14ac:dyDescent="0.2">
      <c r="A261" s="347" t="s">
        <v>510</v>
      </c>
      <c r="B261" s="349" t="s">
        <v>511</v>
      </c>
      <c r="C261" s="353" t="s">
        <v>512</v>
      </c>
      <c r="D261" s="353" t="s">
        <v>513</v>
      </c>
      <c r="E261" s="375" t="s">
        <v>514</v>
      </c>
      <c r="F261" s="355" t="s">
        <v>515</v>
      </c>
      <c r="G261" s="355" t="s">
        <v>516</v>
      </c>
      <c r="H261" s="372" t="s">
        <v>517</v>
      </c>
      <c r="I261" s="161">
        <v>0.2</v>
      </c>
      <c r="J261" s="162">
        <v>0.20200000000000001</v>
      </c>
      <c r="K261" s="21" t="s">
        <v>69</v>
      </c>
      <c r="L261" s="249"/>
      <c r="M261" s="21" t="s">
        <v>27</v>
      </c>
      <c r="N261" s="21" t="s">
        <v>69</v>
      </c>
      <c r="O261" s="291"/>
      <c r="P261" s="370" t="s">
        <v>518</v>
      </c>
      <c r="R261" s="228"/>
      <c r="U261" s="283"/>
      <c r="W261" s="298" t="s">
        <v>728</v>
      </c>
    </row>
    <row r="262" spans="1:23" ht="64.5" customHeight="1" thickBot="1" x14ac:dyDescent="0.25">
      <c r="A262" s="348"/>
      <c r="B262" s="350"/>
      <c r="C262" s="354"/>
      <c r="D262" s="354"/>
      <c r="E262" s="376"/>
      <c r="F262" s="356"/>
      <c r="G262" s="356"/>
      <c r="H262" s="373"/>
      <c r="I262" s="50">
        <v>328</v>
      </c>
      <c r="J262" s="146">
        <v>332</v>
      </c>
      <c r="K262" s="43"/>
      <c r="L262" s="43"/>
      <c r="M262" s="43"/>
      <c r="N262" s="43"/>
      <c r="O262" s="292"/>
      <c r="P262" s="374"/>
      <c r="R262" s="220" t="s">
        <v>632</v>
      </c>
      <c r="U262" s="284"/>
      <c r="W262" s="299"/>
    </row>
    <row r="263" spans="1:23" ht="90.95" customHeight="1" thickBot="1" x14ac:dyDescent="0.25">
      <c r="A263" s="48" t="s">
        <v>519</v>
      </c>
      <c r="B263" s="49" t="s">
        <v>520</v>
      </c>
      <c r="C263" s="123">
        <v>5</v>
      </c>
      <c r="D263" s="50">
        <v>6</v>
      </c>
      <c r="E263" s="50">
        <v>10</v>
      </c>
      <c r="F263" s="50">
        <v>3</v>
      </c>
      <c r="G263" s="50">
        <v>5</v>
      </c>
      <c r="H263" s="50">
        <v>1</v>
      </c>
      <c r="I263" s="50">
        <v>10</v>
      </c>
      <c r="J263" s="146">
        <v>0</v>
      </c>
      <c r="K263" s="20">
        <f>(D263+F263+H263+J263)-20</f>
        <v>-10</v>
      </c>
      <c r="L263" s="39">
        <f>K263/20</f>
        <v>-0.5</v>
      </c>
      <c r="M263" s="20" t="s">
        <v>31</v>
      </c>
      <c r="N263" s="16">
        <f>J263/I263-1</f>
        <v>-1</v>
      </c>
      <c r="O263" s="290"/>
      <c r="P263" s="276" t="s">
        <v>509</v>
      </c>
      <c r="R263" s="228"/>
      <c r="U263" s="282"/>
      <c r="W263" s="298" t="s">
        <v>747</v>
      </c>
    </row>
    <row r="264" spans="1:23" ht="20.45" customHeight="1" x14ac:dyDescent="0.2">
      <c r="A264"/>
      <c r="B264"/>
      <c r="C264"/>
      <c r="D264"/>
      <c r="E264"/>
      <c r="F264"/>
      <c r="G264"/>
      <c r="H264"/>
      <c r="I264"/>
      <c r="J264"/>
    </row>
    <row r="265" spans="1:23" ht="20.45" customHeight="1" x14ac:dyDescent="0.2">
      <c r="A265" s="144" t="s">
        <v>521</v>
      </c>
      <c r="B265"/>
      <c r="C265"/>
      <c r="D265"/>
      <c r="E265"/>
      <c r="F265"/>
      <c r="G265"/>
      <c r="H265"/>
      <c r="I265"/>
      <c r="J265"/>
    </row>
    <row r="266" spans="1:23" ht="23.45" customHeight="1" x14ac:dyDescent="0.2">
      <c r="A266" s="308" t="s">
        <v>0</v>
      </c>
      <c r="B266" s="308"/>
      <c r="C266" s="308"/>
      <c r="D266" s="308"/>
      <c r="E266" s="308"/>
      <c r="F266" s="308"/>
      <c r="G266" s="308"/>
      <c r="H266" s="308"/>
      <c r="I266" s="308"/>
      <c r="J266" s="308"/>
      <c r="K266" s="308"/>
      <c r="L266" s="308"/>
      <c r="M266" s="308"/>
      <c r="N266" s="308"/>
      <c r="O266" s="308"/>
      <c r="P266" s="308"/>
    </row>
    <row r="267" spans="1:23" ht="50.45" customHeight="1" thickBot="1" x14ac:dyDescent="0.25">
      <c r="A267" s="308" t="s">
        <v>522</v>
      </c>
      <c r="B267" s="308"/>
      <c r="C267" s="308"/>
      <c r="D267" s="308"/>
      <c r="E267" s="308"/>
      <c r="F267" s="308"/>
      <c r="G267" s="308"/>
      <c r="H267" s="308"/>
      <c r="I267" s="308"/>
      <c r="J267" s="308"/>
      <c r="K267" s="308"/>
      <c r="L267" s="308"/>
      <c r="M267" s="308"/>
      <c r="N267" s="47"/>
    </row>
    <row r="268" spans="1:23" ht="22.5" customHeight="1" thickBot="1" x14ac:dyDescent="0.25">
      <c r="A268" s="310" t="s">
        <v>2</v>
      </c>
      <c r="B268" s="311"/>
      <c r="C268" s="311"/>
      <c r="D268" s="311"/>
      <c r="E268" s="311"/>
      <c r="F268" s="311"/>
      <c r="G268" s="311"/>
      <c r="H268" s="311"/>
      <c r="I268" s="311"/>
      <c r="J268" s="312"/>
      <c r="K268" s="334" t="s">
        <v>3</v>
      </c>
      <c r="L268" s="335"/>
      <c r="M268" s="335"/>
      <c r="N268" s="335"/>
      <c r="O268" s="335"/>
      <c r="P268" s="335"/>
      <c r="R268" s="266" t="s">
        <v>654</v>
      </c>
      <c r="U268" s="278"/>
      <c r="W268" s="305" t="s">
        <v>679</v>
      </c>
    </row>
    <row r="269" spans="1:23" ht="29.45" customHeight="1" thickBot="1" x14ac:dyDescent="0.25">
      <c r="A269" s="337" t="s">
        <v>4</v>
      </c>
      <c r="B269" s="71" t="s">
        <v>390</v>
      </c>
      <c r="C269" s="340" t="s">
        <v>6</v>
      </c>
      <c r="D269" s="341"/>
      <c r="E269" s="340" t="s">
        <v>6</v>
      </c>
      <c r="F269" s="341"/>
      <c r="G269" s="340" t="s">
        <v>6</v>
      </c>
      <c r="H269" s="341"/>
      <c r="I269" s="340" t="s">
        <v>6</v>
      </c>
      <c r="J269" s="341"/>
      <c r="K269" s="321" t="s">
        <v>7</v>
      </c>
      <c r="L269" s="322"/>
      <c r="M269" s="321" t="s">
        <v>8</v>
      </c>
      <c r="N269" s="323"/>
      <c r="O269" s="324" t="s">
        <v>9</v>
      </c>
      <c r="P269" s="327" t="s">
        <v>10</v>
      </c>
      <c r="R269" s="306" t="s">
        <v>607</v>
      </c>
      <c r="U269" s="279"/>
      <c r="W269" s="305"/>
    </row>
    <row r="270" spans="1:23" ht="43.5" customHeight="1" thickBot="1" x14ac:dyDescent="0.25">
      <c r="A270" s="338"/>
      <c r="B270" s="338" t="s">
        <v>11</v>
      </c>
      <c r="C270" s="343" t="s">
        <v>12</v>
      </c>
      <c r="D270" s="344"/>
      <c r="E270" s="343" t="s">
        <v>13</v>
      </c>
      <c r="F270" s="344"/>
      <c r="G270" s="343" t="s">
        <v>14</v>
      </c>
      <c r="H270" s="344"/>
      <c r="I270" s="343" t="s">
        <v>15</v>
      </c>
      <c r="J270" s="344"/>
      <c r="K270" s="321" t="s">
        <v>16</v>
      </c>
      <c r="L270" s="322"/>
      <c r="M270" s="321" t="s">
        <v>17</v>
      </c>
      <c r="N270" s="322"/>
      <c r="O270" s="325"/>
      <c r="P270" s="328"/>
      <c r="R270" s="306"/>
      <c r="U270" s="279"/>
      <c r="W270" s="305"/>
    </row>
    <row r="271" spans="1:23" ht="29.45" customHeight="1" thickBot="1" x14ac:dyDescent="0.25">
      <c r="A271" s="339"/>
      <c r="B271" s="339"/>
      <c r="C271" s="72" t="s">
        <v>18</v>
      </c>
      <c r="D271" s="72" t="s">
        <v>19</v>
      </c>
      <c r="E271" s="72" t="s">
        <v>18</v>
      </c>
      <c r="F271" s="72" t="s">
        <v>19</v>
      </c>
      <c r="G271" s="72" t="s">
        <v>18</v>
      </c>
      <c r="H271" s="72" t="s">
        <v>19</v>
      </c>
      <c r="I271" s="72" t="s">
        <v>18</v>
      </c>
      <c r="J271" s="72" t="s">
        <v>19</v>
      </c>
      <c r="K271" s="5" t="s">
        <v>20</v>
      </c>
      <c r="L271" s="248" t="s">
        <v>21</v>
      </c>
      <c r="M271" s="6" t="s">
        <v>22</v>
      </c>
      <c r="N271" s="7" t="s">
        <v>23</v>
      </c>
      <c r="O271" s="326"/>
      <c r="P271" s="326"/>
      <c r="R271" s="307"/>
      <c r="U271" s="279"/>
      <c r="W271" s="305"/>
    </row>
    <row r="272" spans="1:23" ht="50.45" customHeight="1" thickBot="1" x14ac:dyDescent="0.25">
      <c r="A272" s="48" t="s">
        <v>523</v>
      </c>
      <c r="B272" s="49" t="s">
        <v>524</v>
      </c>
      <c r="C272" s="97">
        <v>1</v>
      </c>
      <c r="D272" s="97">
        <v>1</v>
      </c>
      <c r="E272" s="97">
        <v>1</v>
      </c>
      <c r="F272" s="97">
        <v>1</v>
      </c>
      <c r="G272" s="97">
        <v>1</v>
      </c>
      <c r="H272" s="97">
        <v>1</v>
      </c>
      <c r="I272" s="97">
        <v>1</v>
      </c>
      <c r="J272" s="97">
        <v>1</v>
      </c>
      <c r="K272" s="34"/>
      <c r="L272" s="249"/>
      <c r="M272" s="60" t="s">
        <v>154</v>
      </c>
      <c r="N272" s="34" t="s">
        <v>525</v>
      </c>
      <c r="P272" s="75" t="s">
        <v>526</v>
      </c>
      <c r="R272" s="228"/>
    </row>
    <row r="273" spans="1:23" ht="64.5" customHeight="1" thickBot="1" x14ac:dyDescent="0.25">
      <c r="A273" s="48" t="s">
        <v>527</v>
      </c>
      <c r="B273" s="49" t="s">
        <v>528</v>
      </c>
      <c r="C273" s="50" t="s">
        <v>53</v>
      </c>
      <c r="D273" s="50" t="s">
        <v>53</v>
      </c>
      <c r="E273" s="50">
        <v>5</v>
      </c>
      <c r="F273" s="50" t="s">
        <v>529</v>
      </c>
      <c r="G273" s="50" t="s">
        <v>53</v>
      </c>
      <c r="H273" s="50" t="s">
        <v>53</v>
      </c>
      <c r="I273" s="50">
        <v>1</v>
      </c>
      <c r="J273" s="104" t="s">
        <v>530</v>
      </c>
      <c r="K273" s="34" t="s">
        <v>652</v>
      </c>
      <c r="L273" s="249">
        <v>1</v>
      </c>
      <c r="M273" s="60" t="s">
        <v>154</v>
      </c>
      <c r="N273" s="34" t="s">
        <v>525</v>
      </c>
      <c r="O273" s="292"/>
      <c r="P273" s="276" t="s">
        <v>531</v>
      </c>
      <c r="R273" s="219" t="s">
        <v>633</v>
      </c>
    </row>
    <row r="274" spans="1:23" ht="69" customHeight="1" thickBot="1" x14ac:dyDescent="0.25">
      <c r="A274" s="48" t="s">
        <v>532</v>
      </c>
      <c r="B274" s="49" t="s">
        <v>533</v>
      </c>
      <c r="C274" s="97">
        <v>0.1</v>
      </c>
      <c r="D274" s="97">
        <v>0</v>
      </c>
      <c r="E274" s="97">
        <v>0.3</v>
      </c>
      <c r="F274" s="97">
        <v>0</v>
      </c>
      <c r="G274" s="97">
        <v>0</v>
      </c>
      <c r="H274" s="50" t="s">
        <v>53</v>
      </c>
      <c r="I274" s="97">
        <v>0</v>
      </c>
      <c r="J274" s="53" t="s">
        <v>534</v>
      </c>
      <c r="K274" s="27" t="s">
        <v>653</v>
      </c>
      <c r="L274" s="27" t="s">
        <v>653</v>
      </c>
      <c r="M274" s="27" t="s">
        <v>535</v>
      </c>
      <c r="N274" s="27" t="s">
        <v>535</v>
      </c>
      <c r="O274" s="163"/>
      <c r="P274" s="276">
        <v>8287</v>
      </c>
      <c r="R274" s="220" t="s">
        <v>634</v>
      </c>
    </row>
    <row r="275" spans="1:23" ht="89.1" customHeight="1" thickBot="1" x14ac:dyDescent="0.25">
      <c r="A275" s="48" t="s">
        <v>536</v>
      </c>
      <c r="B275" s="164" t="s">
        <v>537</v>
      </c>
      <c r="C275" s="123">
        <v>0</v>
      </c>
      <c r="D275" s="123">
        <v>0</v>
      </c>
      <c r="E275" s="50">
        <v>1</v>
      </c>
      <c r="F275" s="50" t="s">
        <v>90</v>
      </c>
      <c r="G275" s="50">
        <v>2</v>
      </c>
      <c r="H275" s="50">
        <v>10</v>
      </c>
      <c r="I275" s="50">
        <v>3</v>
      </c>
      <c r="J275" s="50">
        <v>5</v>
      </c>
      <c r="K275" s="34">
        <f>15-5</f>
        <v>10</v>
      </c>
      <c r="L275" s="249">
        <f>15/5-1</f>
        <v>2</v>
      </c>
      <c r="M275" s="20" t="s">
        <v>31</v>
      </c>
      <c r="N275" s="249">
        <f>5/3-1</f>
        <v>0.66666666666666674</v>
      </c>
      <c r="O275" s="27"/>
      <c r="P275" s="276">
        <v>8753</v>
      </c>
      <c r="R275" s="225" t="s">
        <v>638</v>
      </c>
    </row>
    <row r="276" spans="1:23" ht="50.45" customHeight="1" thickBot="1" x14ac:dyDescent="0.25">
      <c r="A276" s="48" t="s">
        <v>538</v>
      </c>
      <c r="B276" s="49" t="s">
        <v>539</v>
      </c>
      <c r="C276" s="123" t="s">
        <v>53</v>
      </c>
      <c r="D276" s="123" t="s">
        <v>90</v>
      </c>
      <c r="E276" s="97">
        <v>0.1</v>
      </c>
      <c r="F276" s="50" t="s">
        <v>90</v>
      </c>
      <c r="G276" s="97">
        <v>7.0000000000000007E-2</v>
      </c>
      <c r="H276" s="104" t="s">
        <v>540</v>
      </c>
      <c r="I276" s="97">
        <v>7.0000000000000007E-2</v>
      </c>
      <c r="J276" s="97">
        <v>0.13</v>
      </c>
      <c r="K276" s="34" t="s">
        <v>541</v>
      </c>
      <c r="L276" s="256"/>
      <c r="M276" s="60" t="s">
        <v>154</v>
      </c>
      <c r="N276" s="34" t="s">
        <v>541</v>
      </c>
      <c r="P276" s="276" t="s">
        <v>53</v>
      </c>
      <c r="R276" s="228"/>
    </row>
    <row r="277" spans="1:23" ht="50.45" customHeight="1" thickBot="1" x14ac:dyDescent="0.25">
      <c r="A277" s="48" t="s">
        <v>542</v>
      </c>
      <c r="B277" s="49" t="s">
        <v>543</v>
      </c>
      <c r="C277" s="98">
        <v>1</v>
      </c>
      <c r="D277" s="103">
        <v>0.879</v>
      </c>
      <c r="E277" s="97">
        <v>1</v>
      </c>
      <c r="F277" s="97">
        <v>0.96</v>
      </c>
      <c r="G277" s="97">
        <v>0.5</v>
      </c>
      <c r="H277" s="97">
        <v>0.71</v>
      </c>
      <c r="I277" s="97">
        <v>0.6</v>
      </c>
      <c r="J277" s="104" t="s">
        <v>544</v>
      </c>
      <c r="K277" s="38" t="s">
        <v>545</v>
      </c>
      <c r="L277" s="254"/>
      <c r="M277" s="34" t="s">
        <v>27</v>
      </c>
      <c r="N277" s="34" t="s">
        <v>546</v>
      </c>
      <c r="P277" s="276">
        <v>8287</v>
      </c>
      <c r="R277" s="228"/>
    </row>
    <row r="278" spans="1:23" ht="50.45" customHeight="1" thickBot="1" x14ac:dyDescent="0.25">
      <c r="A278" s="48" t="s">
        <v>547</v>
      </c>
      <c r="B278" s="49" t="s">
        <v>548</v>
      </c>
      <c r="C278" s="98">
        <v>0.85</v>
      </c>
      <c r="D278" s="103">
        <v>0.80600000000000005</v>
      </c>
      <c r="E278" s="97">
        <v>0.9</v>
      </c>
      <c r="F278" s="90">
        <v>0.8286</v>
      </c>
      <c r="G278" s="97">
        <v>0.95</v>
      </c>
      <c r="H278" s="90">
        <v>0.84050000000000002</v>
      </c>
      <c r="I278" s="97">
        <v>0.9</v>
      </c>
      <c r="J278" s="90">
        <v>0.82699999999999996</v>
      </c>
      <c r="K278" s="38" t="s">
        <v>549</v>
      </c>
      <c r="L278" s="254"/>
      <c r="M278" s="20" t="s">
        <v>31</v>
      </c>
      <c r="N278" s="38" t="s">
        <v>550</v>
      </c>
      <c r="P278" s="276" t="s">
        <v>509</v>
      </c>
      <c r="R278" s="228"/>
      <c r="W278" s="294" t="s">
        <v>729</v>
      </c>
    </row>
    <row r="279" spans="1:23" ht="20.100000000000001" customHeight="1" x14ac:dyDescent="0.2">
      <c r="A279"/>
      <c r="B279"/>
      <c r="C279"/>
      <c r="D279"/>
      <c r="E279"/>
      <c r="F279"/>
      <c r="G279"/>
      <c r="H279"/>
      <c r="I279"/>
      <c r="J279"/>
    </row>
    <row r="280" spans="1:23" ht="27.95" customHeight="1" x14ac:dyDescent="0.2">
      <c r="A280" s="342" t="s">
        <v>551</v>
      </c>
      <c r="B280" s="342"/>
      <c r="C280" s="342"/>
      <c r="D280" s="342"/>
      <c r="E280" s="342"/>
      <c r="F280" s="342"/>
      <c r="G280" s="342"/>
      <c r="H280" s="342"/>
      <c r="I280" s="342"/>
      <c r="J280" s="342"/>
      <c r="K280" s="342"/>
      <c r="L280" s="342"/>
      <c r="M280" s="342"/>
      <c r="N280" s="342"/>
      <c r="O280" s="342"/>
    </row>
    <row r="281" spans="1:23" ht="27.95" customHeight="1" x14ac:dyDescent="0.2">
      <c r="A281" s="342" t="s">
        <v>552</v>
      </c>
      <c r="B281" s="342"/>
      <c r="C281" s="342"/>
      <c r="D281" s="342"/>
      <c r="E281" s="342"/>
      <c r="F281" s="342"/>
      <c r="G281" s="342"/>
      <c r="H281" s="342"/>
      <c r="I281" s="342"/>
      <c r="J281" s="342"/>
      <c r="K281" s="342"/>
      <c r="L281" s="342"/>
      <c r="M281" s="342"/>
      <c r="N281" s="342"/>
      <c r="O281" s="342"/>
    </row>
    <row r="282" spans="1:23" ht="27.95" customHeight="1" x14ac:dyDescent="0.2">
      <c r="A282" s="342" t="s">
        <v>553</v>
      </c>
      <c r="B282" s="342"/>
      <c r="C282" s="342"/>
      <c r="D282" s="342"/>
      <c r="E282" s="342"/>
      <c r="F282" s="342"/>
      <c r="G282" s="342"/>
      <c r="H282" s="342"/>
      <c r="I282" s="342"/>
      <c r="J282" s="342"/>
      <c r="K282" s="342"/>
      <c r="L282" s="342"/>
      <c r="M282" s="342"/>
      <c r="N282" s="342"/>
      <c r="O282" s="342"/>
    </row>
    <row r="283" spans="1:23" ht="27.95" customHeight="1" x14ac:dyDescent="0.2">
      <c r="A283" s="342" t="s">
        <v>554</v>
      </c>
      <c r="B283" s="342"/>
      <c r="C283" s="342"/>
      <c r="D283" s="342"/>
      <c r="E283" s="342"/>
      <c r="F283" s="342"/>
      <c r="G283" s="342"/>
      <c r="H283" s="342"/>
      <c r="I283" s="342"/>
      <c r="J283" s="342"/>
      <c r="K283" s="342"/>
      <c r="L283" s="342"/>
      <c r="M283" s="342"/>
      <c r="N283" s="342"/>
      <c r="O283" s="342"/>
    </row>
    <row r="284" spans="1:23" ht="27.95" customHeight="1" x14ac:dyDescent="0.2">
      <c r="A284" s="342" t="s">
        <v>555</v>
      </c>
      <c r="B284" s="342"/>
      <c r="C284" s="342"/>
      <c r="D284" s="342"/>
      <c r="E284" s="342"/>
      <c r="F284" s="342"/>
      <c r="G284" s="342"/>
      <c r="H284" s="342"/>
      <c r="I284" s="342"/>
      <c r="J284" s="342"/>
      <c r="K284" s="342"/>
      <c r="L284" s="342"/>
      <c r="M284" s="342"/>
      <c r="N284" s="342"/>
      <c r="O284" s="342"/>
    </row>
    <row r="285" spans="1:23" ht="23.1" customHeight="1" x14ac:dyDescent="0.2">
      <c r="A285" s="308" t="s">
        <v>0</v>
      </c>
      <c r="B285" s="308"/>
      <c r="C285" s="308"/>
      <c r="D285" s="308"/>
      <c r="E285" s="308"/>
      <c r="F285" s="308"/>
      <c r="G285" s="308"/>
      <c r="H285" s="308"/>
      <c r="I285" s="308"/>
      <c r="J285" s="308"/>
      <c r="K285" s="308"/>
      <c r="L285" s="308"/>
      <c r="M285" s="308"/>
      <c r="N285" s="308"/>
      <c r="O285" s="308"/>
      <c r="P285" s="308"/>
    </row>
    <row r="286" spans="1:23" ht="50.45" customHeight="1" thickBot="1" x14ac:dyDescent="0.25">
      <c r="A286" s="308" t="s">
        <v>556</v>
      </c>
      <c r="B286" s="308"/>
      <c r="C286" s="308"/>
      <c r="D286" s="308"/>
      <c r="E286" s="308"/>
      <c r="F286" s="308"/>
      <c r="G286" s="308"/>
      <c r="H286" s="308"/>
      <c r="I286" s="308"/>
      <c r="J286" s="308"/>
      <c r="K286" s="308"/>
      <c r="L286" s="308"/>
      <c r="M286" s="308"/>
      <c r="N286" s="47"/>
    </row>
    <row r="287" spans="1:23" ht="22.5" customHeight="1" thickBot="1" x14ac:dyDescent="0.25">
      <c r="A287" s="310" t="s">
        <v>2</v>
      </c>
      <c r="B287" s="311"/>
      <c r="C287" s="311"/>
      <c r="D287" s="311"/>
      <c r="E287" s="311"/>
      <c r="F287" s="311"/>
      <c r="G287" s="311"/>
      <c r="H287" s="311"/>
      <c r="I287" s="311"/>
      <c r="J287" s="312"/>
      <c r="K287" s="334" t="s">
        <v>3</v>
      </c>
      <c r="L287" s="335"/>
      <c r="M287" s="335"/>
      <c r="N287" s="335"/>
      <c r="O287" s="335"/>
      <c r="P287" s="335"/>
      <c r="R287" s="266" t="s">
        <v>654</v>
      </c>
      <c r="U287" s="278"/>
      <c r="W287" s="305" t="s">
        <v>679</v>
      </c>
    </row>
    <row r="288" spans="1:23" ht="27" customHeight="1" thickBot="1" x14ac:dyDescent="0.25">
      <c r="A288" s="337" t="s">
        <v>4</v>
      </c>
      <c r="B288" s="71" t="s">
        <v>390</v>
      </c>
      <c r="C288" s="340" t="s">
        <v>6</v>
      </c>
      <c r="D288" s="341"/>
      <c r="E288" s="340" t="s">
        <v>6</v>
      </c>
      <c r="F288" s="341"/>
      <c r="G288" s="340" t="s">
        <v>6</v>
      </c>
      <c r="H288" s="341"/>
      <c r="I288" s="340" t="s">
        <v>6</v>
      </c>
      <c r="J288" s="341"/>
      <c r="K288" s="321" t="s">
        <v>7</v>
      </c>
      <c r="L288" s="322"/>
      <c r="M288" s="321" t="s">
        <v>8</v>
      </c>
      <c r="N288" s="323"/>
      <c r="O288" s="324" t="s">
        <v>9</v>
      </c>
      <c r="P288" s="327" t="s">
        <v>10</v>
      </c>
      <c r="R288" s="306" t="s">
        <v>607</v>
      </c>
      <c r="U288" s="279"/>
      <c r="W288" s="305"/>
    </row>
    <row r="289" spans="1:23" ht="27" customHeight="1" thickBot="1" x14ac:dyDescent="0.25">
      <c r="A289" s="338"/>
      <c r="B289" s="338" t="s">
        <v>11</v>
      </c>
      <c r="C289" s="343" t="s">
        <v>12</v>
      </c>
      <c r="D289" s="344"/>
      <c r="E289" s="343" t="s">
        <v>13</v>
      </c>
      <c r="F289" s="344"/>
      <c r="G289" s="343" t="s">
        <v>14</v>
      </c>
      <c r="H289" s="344"/>
      <c r="I289" s="343" t="s">
        <v>15</v>
      </c>
      <c r="J289" s="344"/>
      <c r="K289" s="321" t="s">
        <v>16</v>
      </c>
      <c r="L289" s="322"/>
      <c r="M289" s="321" t="s">
        <v>17</v>
      </c>
      <c r="N289" s="322"/>
      <c r="O289" s="325"/>
      <c r="P289" s="328"/>
      <c r="R289" s="306"/>
      <c r="U289" s="279"/>
      <c r="W289" s="305"/>
    </row>
    <row r="290" spans="1:23" ht="49.5" customHeight="1" thickBot="1" x14ac:dyDescent="0.25">
      <c r="A290" s="339"/>
      <c r="B290" s="339"/>
      <c r="C290" s="72" t="s">
        <v>18</v>
      </c>
      <c r="D290" s="72" t="s">
        <v>19</v>
      </c>
      <c r="E290" s="72" t="s">
        <v>18</v>
      </c>
      <c r="F290" s="72" t="s">
        <v>19</v>
      </c>
      <c r="G290" s="72" t="s">
        <v>18</v>
      </c>
      <c r="H290" s="72" t="s">
        <v>19</v>
      </c>
      <c r="I290" s="72" t="s">
        <v>18</v>
      </c>
      <c r="J290" s="72" t="s">
        <v>19</v>
      </c>
      <c r="K290" s="5" t="s">
        <v>20</v>
      </c>
      <c r="L290" s="248" t="s">
        <v>21</v>
      </c>
      <c r="M290" s="6" t="s">
        <v>22</v>
      </c>
      <c r="N290" s="7" t="s">
        <v>23</v>
      </c>
      <c r="O290" s="326"/>
      <c r="P290" s="326"/>
      <c r="R290" s="307"/>
      <c r="U290" s="279"/>
      <c r="W290" s="305"/>
    </row>
    <row r="291" spans="1:23" ht="50.45" customHeight="1" thickBot="1" x14ac:dyDescent="0.25">
      <c r="A291" s="48" t="s">
        <v>557</v>
      </c>
      <c r="B291" s="49" t="s">
        <v>558</v>
      </c>
      <c r="C291" s="50">
        <v>0</v>
      </c>
      <c r="D291" s="50">
        <v>0</v>
      </c>
      <c r="E291" s="50" t="s">
        <v>53</v>
      </c>
      <c r="F291" s="50" t="s">
        <v>53</v>
      </c>
      <c r="G291" s="50" t="s">
        <v>53</v>
      </c>
      <c r="H291" s="50" t="s">
        <v>53</v>
      </c>
      <c r="I291" s="50" t="s">
        <v>53</v>
      </c>
      <c r="J291" s="50" t="s">
        <v>53</v>
      </c>
      <c r="K291" s="50" t="s">
        <v>53</v>
      </c>
      <c r="L291" s="257" t="s">
        <v>53</v>
      </c>
      <c r="M291" s="50" t="s">
        <v>53</v>
      </c>
      <c r="N291" s="50"/>
      <c r="O291" s="50" t="s">
        <v>53</v>
      </c>
      <c r="P291" s="75" t="s">
        <v>53</v>
      </c>
      <c r="R291" s="228"/>
      <c r="W291" s="294" t="s">
        <v>730</v>
      </c>
    </row>
    <row r="292" spans="1:23" ht="149.25" customHeight="1" thickBot="1" x14ac:dyDescent="0.25">
      <c r="A292" s="48" t="s">
        <v>559</v>
      </c>
      <c r="B292" s="49" t="s">
        <v>560</v>
      </c>
      <c r="C292" s="50">
        <v>30.8</v>
      </c>
      <c r="D292" s="97">
        <v>0.4</v>
      </c>
      <c r="E292" s="102">
        <v>0.35620000000000002</v>
      </c>
      <c r="F292" s="90">
        <v>0.84640000000000004</v>
      </c>
      <c r="G292" s="90">
        <v>0.72109999999999996</v>
      </c>
      <c r="H292" s="90">
        <v>0.99719999999999998</v>
      </c>
      <c r="I292" s="90">
        <v>0.88680000000000003</v>
      </c>
      <c r="J292" s="104" t="s">
        <v>561</v>
      </c>
      <c r="K292" s="57">
        <f>0.9997-0.8868</f>
        <v>0.1129</v>
      </c>
      <c r="L292" s="57">
        <f>99.97/88.68-1</f>
        <v>0.12731168245376634</v>
      </c>
      <c r="M292" s="21" t="s">
        <v>27</v>
      </c>
      <c r="N292" s="57">
        <f>99.97/88.68-1</f>
        <v>0.12731168245376634</v>
      </c>
      <c r="O292" s="292"/>
      <c r="P292" s="157" t="s">
        <v>482</v>
      </c>
      <c r="R292" s="219" t="s">
        <v>637</v>
      </c>
    </row>
    <row r="293" spans="1:23" ht="68.45" customHeight="1" thickBot="1" x14ac:dyDescent="0.25">
      <c r="A293" s="48" t="s">
        <v>562</v>
      </c>
      <c r="B293" s="49" t="s">
        <v>563</v>
      </c>
      <c r="C293" s="50" t="s">
        <v>53</v>
      </c>
      <c r="D293" s="50" t="s">
        <v>53</v>
      </c>
      <c r="E293" s="50" t="s">
        <v>53</v>
      </c>
      <c r="F293" s="50" t="s">
        <v>53</v>
      </c>
      <c r="G293" s="50" t="s">
        <v>53</v>
      </c>
      <c r="H293" s="50" t="s">
        <v>53</v>
      </c>
      <c r="I293" s="50" t="s">
        <v>53</v>
      </c>
      <c r="J293" s="50" t="s">
        <v>53</v>
      </c>
      <c r="K293" s="50" t="s">
        <v>53</v>
      </c>
      <c r="L293" s="257" t="s">
        <v>53</v>
      </c>
      <c r="M293" s="50" t="s">
        <v>53</v>
      </c>
      <c r="N293" s="50"/>
      <c r="O293" s="50" t="s">
        <v>53</v>
      </c>
      <c r="P293" s="276" t="s">
        <v>53</v>
      </c>
      <c r="R293" s="228"/>
      <c r="W293" s="294" t="s">
        <v>731</v>
      </c>
    </row>
    <row r="294" spans="1:23" ht="50.45" customHeight="1" thickBot="1" x14ac:dyDescent="0.25">
      <c r="A294" s="48" t="s">
        <v>564</v>
      </c>
      <c r="B294" s="49" t="s">
        <v>565</v>
      </c>
      <c r="C294" s="123" t="s">
        <v>53</v>
      </c>
      <c r="D294" s="123" t="s">
        <v>53</v>
      </c>
      <c r="E294" s="50" t="s">
        <v>53</v>
      </c>
      <c r="F294" s="50" t="s">
        <v>53</v>
      </c>
      <c r="G294" s="50" t="s">
        <v>53</v>
      </c>
      <c r="H294" s="50" t="s">
        <v>53</v>
      </c>
      <c r="I294" s="50" t="s">
        <v>53</v>
      </c>
      <c r="J294" s="50" t="s">
        <v>53</v>
      </c>
      <c r="K294" s="50" t="s">
        <v>53</v>
      </c>
      <c r="L294" s="257" t="s">
        <v>53</v>
      </c>
      <c r="M294" s="50" t="s">
        <v>53</v>
      </c>
      <c r="N294" s="50"/>
      <c r="O294" s="50" t="s">
        <v>53</v>
      </c>
      <c r="P294" s="276" t="s">
        <v>53</v>
      </c>
      <c r="R294" s="228"/>
      <c r="W294" s="294" t="s">
        <v>732</v>
      </c>
    </row>
    <row r="295" spans="1:23" ht="174" customHeight="1" thickBot="1" x14ac:dyDescent="0.25">
      <c r="A295" s="48" t="s">
        <v>566</v>
      </c>
      <c r="B295" s="49" t="s">
        <v>567</v>
      </c>
      <c r="C295" s="123" t="s">
        <v>53</v>
      </c>
      <c r="D295" s="165">
        <v>6.2399999999999997E-2</v>
      </c>
      <c r="E295" s="97">
        <v>0.06</v>
      </c>
      <c r="F295" s="90">
        <v>0.13009999999999999</v>
      </c>
      <c r="G295" s="97">
        <v>0.05</v>
      </c>
      <c r="H295" s="97">
        <v>0</v>
      </c>
      <c r="I295" s="97">
        <v>0.05</v>
      </c>
      <c r="J295" s="90">
        <v>7.3499999999999996E-2</v>
      </c>
      <c r="K295" s="57">
        <f>(D295+F295+H295+J295)-(E295+G295+I295)</f>
        <v>0.10600000000000001</v>
      </c>
      <c r="L295" s="57">
        <f>(0.266/0.16)-1</f>
        <v>0.66250000000000009</v>
      </c>
      <c r="M295" s="21" t="s">
        <v>27</v>
      </c>
      <c r="N295" s="262">
        <f>(7.35/5)-1</f>
        <v>0.47</v>
      </c>
      <c r="O295" s="292"/>
      <c r="P295" s="276" t="s">
        <v>53</v>
      </c>
      <c r="R295" s="219" t="s">
        <v>636</v>
      </c>
      <c r="S295" s="229"/>
      <c r="U295" s="285"/>
      <c r="W295" s="300" t="s">
        <v>733</v>
      </c>
    </row>
    <row r="296" spans="1:23" ht="26.1" customHeight="1" x14ac:dyDescent="0.2">
      <c r="A296"/>
      <c r="B296"/>
      <c r="C296"/>
      <c r="D296"/>
      <c r="E296"/>
      <c r="F296"/>
      <c r="G296"/>
      <c r="H296"/>
      <c r="I296"/>
      <c r="J296"/>
    </row>
    <row r="297" spans="1:23" ht="26.1" customHeight="1" x14ac:dyDescent="0.2">
      <c r="A297" s="342" t="s">
        <v>568</v>
      </c>
      <c r="B297" s="342"/>
      <c r="C297" s="342"/>
      <c r="D297" s="342"/>
      <c r="E297" s="342"/>
      <c r="F297" s="342"/>
      <c r="G297" s="342"/>
      <c r="H297" s="342"/>
      <c r="I297" s="342"/>
      <c r="J297" s="342"/>
      <c r="K297" s="342"/>
      <c r="L297" s="342"/>
      <c r="M297" s="342"/>
      <c r="N297" s="342"/>
      <c r="O297" s="342"/>
    </row>
    <row r="299" spans="1:23" s="277" customFormat="1" ht="48.95" customHeight="1" x14ac:dyDescent="0.2">
      <c r="K299" s="301"/>
      <c r="L299" s="302"/>
      <c r="M299" s="301"/>
      <c r="N299" s="301"/>
      <c r="O299" s="280"/>
      <c r="P299" s="280"/>
      <c r="R299" s="303"/>
      <c r="U299" s="280"/>
      <c r="W299" s="304"/>
    </row>
    <row r="335" ht="33" customHeight="1" x14ac:dyDescent="0.2"/>
  </sheetData>
  <mergeCells count="385">
    <mergeCell ref="E4:F4"/>
    <mergeCell ref="G4:H4"/>
    <mergeCell ref="I4:J4"/>
    <mergeCell ref="K4:L4"/>
    <mergeCell ref="M4:N4"/>
    <mergeCell ref="A285:P285"/>
    <mergeCell ref="A286:M286"/>
    <mergeCell ref="A287:J287"/>
    <mergeCell ref="K287:P287"/>
    <mergeCell ref="A288:A290"/>
    <mergeCell ref="C288:D288"/>
    <mergeCell ref="E288:F288"/>
    <mergeCell ref="G288:H288"/>
    <mergeCell ref="I288:J288"/>
    <mergeCell ref="K288:L288"/>
    <mergeCell ref="M289:N289"/>
    <mergeCell ref="A297:O297"/>
    <mergeCell ref="M288:N288"/>
    <mergeCell ref="O288:O290"/>
    <mergeCell ref="P288:P290"/>
    <mergeCell ref="B289:B290"/>
    <mergeCell ref="C289:D289"/>
    <mergeCell ref="E289:F289"/>
    <mergeCell ref="G289:H289"/>
    <mergeCell ref="I289:J289"/>
    <mergeCell ref="K289:L289"/>
    <mergeCell ref="A280:O280"/>
    <mergeCell ref="A281:O281"/>
    <mergeCell ref="A282:O282"/>
    <mergeCell ref="A283:O283"/>
    <mergeCell ref="A284:O284"/>
    <mergeCell ref="O269:O271"/>
    <mergeCell ref="P269:P271"/>
    <mergeCell ref="B270:B271"/>
    <mergeCell ref="C270:D270"/>
    <mergeCell ref="E270:F270"/>
    <mergeCell ref="G270:H270"/>
    <mergeCell ref="I270:J270"/>
    <mergeCell ref="K270:L270"/>
    <mergeCell ref="M270:N270"/>
    <mergeCell ref="A267:M267"/>
    <mergeCell ref="A268:J268"/>
    <mergeCell ref="K268:P268"/>
    <mergeCell ref="A269:A271"/>
    <mergeCell ref="C269:D269"/>
    <mergeCell ref="E269:F269"/>
    <mergeCell ref="G269:H269"/>
    <mergeCell ref="I269:J269"/>
    <mergeCell ref="K269:L269"/>
    <mergeCell ref="M269:N269"/>
    <mergeCell ref="G261:G262"/>
    <mergeCell ref="H261:H262"/>
    <mergeCell ref="P261:P262"/>
    <mergeCell ref="A266:P266"/>
    <mergeCell ref="A261:A262"/>
    <mergeCell ref="B261:B262"/>
    <mergeCell ref="C261:C262"/>
    <mergeCell ref="D261:D262"/>
    <mergeCell ref="E261:E262"/>
    <mergeCell ref="F261:F262"/>
    <mergeCell ref="A256:J256"/>
    <mergeCell ref="K256:P256"/>
    <mergeCell ref="A257:A259"/>
    <mergeCell ref="C257:D257"/>
    <mergeCell ref="E257:F257"/>
    <mergeCell ref="G257:H257"/>
    <mergeCell ref="I257:J257"/>
    <mergeCell ref="K257:L257"/>
    <mergeCell ref="M257:N257"/>
    <mergeCell ref="O257:O259"/>
    <mergeCell ref="P257:P259"/>
    <mergeCell ref="B258:B259"/>
    <mergeCell ref="C258:D258"/>
    <mergeCell ref="E258:F258"/>
    <mergeCell ref="G258:H258"/>
    <mergeCell ref="I258:J258"/>
    <mergeCell ref="K258:L258"/>
    <mergeCell ref="M258:N258"/>
    <mergeCell ref="M243:N243"/>
    <mergeCell ref="A252:O252"/>
    <mergeCell ref="A253:O253"/>
    <mergeCell ref="A254:P254"/>
    <mergeCell ref="A255:M255"/>
    <mergeCell ref="M242:N242"/>
    <mergeCell ref="O242:O244"/>
    <mergeCell ref="P242:P244"/>
    <mergeCell ref="B243:B244"/>
    <mergeCell ref="C243:D243"/>
    <mergeCell ref="E243:F243"/>
    <mergeCell ref="G243:H243"/>
    <mergeCell ref="I243:J243"/>
    <mergeCell ref="K243:L243"/>
    <mergeCell ref="A242:A244"/>
    <mergeCell ref="C242:D242"/>
    <mergeCell ref="E242:F242"/>
    <mergeCell ref="G242:H242"/>
    <mergeCell ref="I242:J242"/>
    <mergeCell ref="K242:L242"/>
    <mergeCell ref="A237:M237"/>
    <mergeCell ref="A238:M238"/>
    <mergeCell ref="A239:P239"/>
    <mergeCell ref="A240:M240"/>
    <mergeCell ref="A241:J241"/>
    <mergeCell ref="K241:P241"/>
    <mergeCell ref="O230:O232"/>
    <mergeCell ref="P230:P232"/>
    <mergeCell ref="B231:B232"/>
    <mergeCell ref="C231:D231"/>
    <mergeCell ref="E231:F231"/>
    <mergeCell ref="G231:H231"/>
    <mergeCell ref="I231:J231"/>
    <mergeCell ref="K231:L231"/>
    <mergeCell ref="M231:N231"/>
    <mergeCell ref="A228:M228"/>
    <mergeCell ref="A229:J229"/>
    <mergeCell ref="K229:P229"/>
    <mergeCell ref="A230:A232"/>
    <mergeCell ref="C230:D230"/>
    <mergeCell ref="E230:F230"/>
    <mergeCell ref="G230:H230"/>
    <mergeCell ref="I230:J230"/>
    <mergeCell ref="K230:L230"/>
    <mergeCell ref="M230:N230"/>
    <mergeCell ref="A225:O225"/>
    <mergeCell ref="A226:O226"/>
    <mergeCell ref="A227:P227"/>
    <mergeCell ref="K216:L216"/>
    <mergeCell ref="M216:N216"/>
    <mergeCell ref="O216:O218"/>
    <mergeCell ref="P216:P218"/>
    <mergeCell ref="B217:B218"/>
    <mergeCell ref="C217:D217"/>
    <mergeCell ref="E217:F217"/>
    <mergeCell ref="G217:H217"/>
    <mergeCell ref="I217:J217"/>
    <mergeCell ref="A212:O212"/>
    <mergeCell ref="A213:P213"/>
    <mergeCell ref="A214:M214"/>
    <mergeCell ref="A215:J215"/>
    <mergeCell ref="K215:P215"/>
    <mergeCell ref="A216:A218"/>
    <mergeCell ref="C216:D216"/>
    <mergeCell ref="E216:F216"/>
    <mergeCell ref="G216:H216"/>
    <mergeCell ref="I216:J216"/>
    <mergeCell ref="K217:L217"/>
    <mergeCell ref="M217:N217"/>
    <mergeCell ref="A194:J194"/>
    <mergeCell ref="K194:P194"/>
    <mergeCell ref="A195:A197"/>
    <mergeCell ref="C195:D195"/>
    <mergeCell ref="E195:F195"/>
    <mergeCell ref="G195:H195"/>
    <mergeCell ref="I195:J195"/>
    <mergeCell ref="K195:L195"/>
    <mergeCell ref="M195:N195"/>
    <mergeCell ref="O195:O197"/>
    <mergeCell ref="P195:P197"/>
    <mergeCell ref="B196:B197"/>
    <mergeCell ref="C196:D196"/>
    <mergeCell ref="E196:F196"/>
    <mergeCell ref="G196:H196"/>
    <mergeCell ref="I196:J196"/>
    <mergeCell ref="K196:L196"/>
    <mergeCell ref="M196:N196"/>
    <mergeCell ref="J185:J186"/>
    <mergeCell ref="P185:P186"/>
    <mergeCell ref="A192:P192"/>
    <mergeCell ref="A193:M193"/>
    <mergeCell ref="A185:A186"/>
    <mergeCell ref="B185:B186"/>
    <mergeCell ref="C185:C186"/>
    <mergeCell ref="D185:D186"/>
    <mergeCell ref="F185:F186"/>
    <mergeCell ref="H185:H186"/>
    <mergeCell ref="A180:J180"/>
    <mergeCell ref="K180:P180"/>
    <mergeCell ref="A181:A183"/>
    <mergeCell ref="C181:D181"/>
    <mergeCell ref="E181:F181"/>
    <mergeCell ref="G181:H181"/>
    <mergeCell ref="I181:J181"/>
    <mergeCell ref="K181:L181"/>
    <mergeCell ref="M181:N181"/>
    <mergeCell ref="O181:O183"/>
    <mergeCell ref="P181:P183"/>
    <mergeCell ref="B182:B183"/>
    <mergeCell ref="C182:D182"/>
    <mergeCell ref="E182:F182"/>
    <mergeCell ref="G182:H182"/>
    <mergeCell ref="I182:J182"/>
    <mergeCell ref="K182:L182"/>
    <mergeCell ref="M182:N182"/>
    <mergeCell ref="M163:N163"/>
    <mergeCell ref="A175:O175"/>
    <mergeCell ref="A177:O177"/>
    <mergeCell ref="A178:P178"/>
    <mergeCell ref="A179:M179"/>
    <mergeCell ref="M162:N162"/>
    <mergeCell ref="O162:O164"/>
    <mergeCell ref="P162:P164"/>
    <mergeCell ref="B163:B164"/>
    <mergeCell ref="C163:D163"/>
    <mergeCell ref="E163:F163"/>
    <mergeCell ref="G163:H163"/>
    <mergeCell ref="I163:J163"/>
    <mergeCell ref="K163:L163"/>
    <mergeCell ref="A162:A164"/>
    <mergeCell ref="C162:D162"/>
    <mergeCell ref="E162:F162"/>
    <mergeCell ref="G162:H162"/>
    <mergeCell ref="I162:J162"/>
    <mergeCell ref="K162:L162"/>
    <mergeCell ref="A157:O157"/>
    <mergeCell ref="A158:O158"/>
    <mergeCell ref="A159:P159"/>
    <mergeCell ref="A160:M160"/>
    <mergeCell ref="A161:J161"/>
    <mergeCell ref="K161:P161"/>
    <mergeCell ref="A151:O151"/>
    <mergeCell ref="A152:O152"/>
    <mergeCell ref="A153:O153"/>
    <mergeCell ref="A154:O154"/>
    <mergeCell ref="A155:O155"/>
    <mergeCell ref="A156:O156"/>
    <mergeCell ref="P137:P138"/>
    <mergeCell ref="A146:M146"/>
    <mergeCell ref="A147:M147"/>
    <mergeCell ref="A148:M148"/>
    <mergeCell ref="A149:M149"/>
    <mergeCell ref="A150:M150"/>
    <mergeCell ref="M122:N122"/>
    <mergeCell ref="A137:A138"/>
    <mergeCell ref="B137:B138"/>
    <mergeCell ref="C137:C138"/>
    <mergeCell ref="D137:D138"/>
    <mergeCell ref="E137:E138"/>
    <mergeCell ref="F137:F138"/>
    <mergeCell ref="G137:G138"/>
    <mergeCell ref="H137:H138"/>
    <mergeCell ref="A118:P118"/>
    <mergeCell ref="A119:M119"/>
    <mergeCell ref="A120:J120"/>
    <mergeCell ref="K120:P120"/>
    <mergeCell ref="A121:A123"/>
    <mergeCell ref="C121:D121"/>
    <mergeCell ref="E121:F121"/>
    <mergeCell ref="G121:H121"/>
    <mergeCell ref="I121:J121"/>
    <mergeCell ref="K121:L121"/>
    <mergeCell ref="M121:N121"/>
    <mergeCell ref="O121:O123"/>
    <mergeCell ref="P121:P123"/>
    <mergeCell ref="B122:B123"/>
    <mergeCell ref="C122:D122"/>
    <mergeCell ref="E122:F122"/>
    <mergeCell ref="G122:H122"/>
    <mergeCell ref="I122:J122"/>
    <mergeCell ref="K122:L122"/>
    <mergeCell ref="A115:M115"/>
    <mergeCell ref="A116:M116"/>
    <mergeCell ref="A117:M117"/>
    <mergeCell ref="K108:L108"/>
    <mergeCell ref="M108:N108"/>
    <mergeCell ref="O108:O110"/>
    <mergeCell ref="P108:P110"/>
    <mergeCell ref="B109:B110"/>
    <mergeCell ref="C109:D109"/>
    <mergeCell ref="E109:F109"/>
    <mergeCell ref="G109:H109"/>
    <mergeCell ref="I109:J109"/>
    <mergeCell ref="A102:O102"/>
    <mergeCell ref="A105:P105"/>
    <mergeCell ref="A106:M106"/>
    <mergeCell ref="A107:J107"/>
    <mergeCell ref="K107:P107"/>
    <mergeCell ref="A108:A110"/>
    <mergeCell ref="C108:D108"/>
    <mergeCell ref="E108:F108"/>
    <mergeCell ref="G108:H108"/>
    <mergeCell ref="I108:J108"/>
    <mergeCell ref="K109:L109"/>
    <mergeCell ref="M109:N109"/>
    <mergeCell ref="A85:O85"/>
    <mergeCell ref="A91:O91"/>
    <mergeCell ref="A92:O92"/>
    <mergeCell ref="K56:L56"/>
    <mergeCell ref="M56:N56"/>
    <mergeCell ref="O56:O58"/>
    <mergeCell ref="P56:P58"/>
    <mergeCell ref="B57:B58"/>
    <mergeCell ref="C57:D57"/>
    <mergeCell ref="E57:F57"/>
    <mergeCell ref="G57:H57"/>
    <mergeCell ref="I57:J57"/>
    <mergeCell ref="A52:P52"/>
    <mergeCell ref="A53:P53"/>
    <mergeCell ref="A54:M54"/>
    <mergeCell ref="A55:J55"/>
    <mergeCell ref="K55:P55"/>
    <mergeCell ref="A56:A58"/>
    <mergeCell ref="C56:D56"/>
    <mergeCell ref="E56:F56"/>
    <mergeCell ref="G56:H56"/>
    <mergeCell ref="I56:J56"/>
    <mergeCell ref="K57:L57"/>
    <mergeCell ref="M57:N57"/>
    <mergeCell ref="A46:P46"/>
    <mergeCell ref="A47:P47"/>
    <mergeCell ref="A48:P48"/>
    <mergeCell ref="A49:P49"/>
    <mergeCell ref="A50:P50"/>
    <mergeCell ref="A51:P51"/>
    <mergeCell ref="A40:P40"/>
    <mergeCell ref="A41:P41"/>
    <mergeCell ref="A42:P42"/>
    <mergeCell ref="A43:P43"/>
    <mergeCell ref="A44:P44"/>
    <mergeCell ref="A45:P45"/>
    <mergeCell ref="A36:O36"/>
    <mergeCell ref="A37:O37"/>
    <mergeCell ref="A38:O38"/>
    <mergeCell ref="A39:P39"/>
    <mergeCell ref="M9:N9"/>
    <mergeCell ref="O9:O11"/>
    <mergeCell ref="P9:P11"/>
    <mergeCell ref="B10:B11"/>
    <mergeCell ref="C10:D10"/>
    <mergeCell ref="E10:F10"/>
    <mergeCell ref="G10:H10"/>
    <mergeCell ref="I10:J10"/>
    <mergeCell ref="K10:L10"/>
    <mergeCell ref="A1:P1"/>
    <mergeCell ref="A7:P7"/>
    <mergeCell ref="A8:J8"/>
    <mergeCell ref="K8:P8"/>
    <mergeCell ref="A9:A11"/>
    <mergeCell ref="C9:D9"/>
    <mergeCell ref="E9:F9"/>
    <mergeCell ref="G9:H9"/>
    <mergeCell ref="I9:J9"/>
    <mergeCell ref="K9:L9"/>
    <mergeCell ref="M10:N10"/>
    <mergeCell ref="A2:J2"/>
    <mergeCell ref="K2:P2"/>
    <mergeCell ref="A3:A5"/>
    <mergeCell ref="C3:D3"/>
    <mergeCell ref="E3:F3"/>
    <mergeCell ref="G3:H3"/>
    <mergeCell ref="I3:J3"/>
    <mergeCell ref="K3:L3"/>
    <mergeCell ref="M3:N3"/>
    <mergeCell ref="O3:O5"/>
    <mergeCell ref="P3:P5"/>
    <mergeCell ref="B4:B5"/>
    <mergeCell ref="C4:D4"/>
    <mergeCell ref="W2:W5"/>
    <mergeCell ref="W8:W11"/>
    <mergeCell ref="W55:W58"/>
    <mergeCell ref="W107:W110"/>
    <mergeCell ref="R257:R259"/>
    <mergeCell ref="R269:R271"/>
    <mergeCell ref="R288:R290"/>
    <mergeCell ref="R56:R58"/>
    <mergeCell ref="R108:R110"/>
    <mergeCell ref="R121:R123"/>
    <mergeCell ref="R162:R164"/>
    <mergeCell ref="R181:R183"/>
    <mergeCell ref="R195:R197"/>
    <mergeCell ref="R216:R218"/>
    <mergeCell ref="R230:R232"/>
    <mergeCell ref="R242:R244"/>
    <mergeCell ref="R9:R11"/>
    <mergeCell ref="R185:R186"/>
    <mergeCell ref="R3:R5"/>
    <mergeCell ref="W229:W232"/>
    <mergeCell ref="W241:W244"/>
    <mergeCell ref="W256:W259"/>
    <mergeCell ref="W268:W271"/>
    <mergeCell ref="W287:W290"/>
    <mergeCell ref="W120:W123"/>
    <mergeCell ref="W161:W164"/>
    <mergeCell ref="W180:W183"/>
    <mergeCell ref="W194:W197"/>
    <mergeCell ref="W215:W218"/>
  </mergeCells>
  <phoneticPr fontId="48" type="noConversion"/>
  <hyperlinks>
    <hyperlink ref="B12" location="_ftn1" display="_ftn1" xr:uid="{00000000-0004-0000-0000-000000000000}"/>
    <hyperlink ref="H12" location="_ftn2" display="_ftn2" xr:uid="{00000000-0004-0000-0000-000001000000}"/>
    <hyperlink ref="J15" location="_ftn3" display="_ftn3" xr:uid="{00000000-0004-0000-0000-000002000000}"/>
    <hyperlink ref="B16" location="_ftn4" display="_ftn4" xr:uid="{00000000-0004-0000-0000-000003000000}"/>
    <hyperlink ref="H17" location="_ftn5" display="_ftn5" xr:uid="{00000000-0004-0000-0000-000004000000}"/>
    <hyperlink ref="H18" location="_ftn6" display="_ftn6" xr:uid="{00000000-0004-0000-0000-000005000000}"/>
    <hyperlink ref="I19" location="_ftn7" display="_ftn7" xr:uid="{00000000-0004-0000-0000-000006000000}"/>
    <hyperlink ref="B21" location="_ftn8" display="_ftn8" xr:uid="{00000000-0004-0000-0000-000007000000}"/>
    <hyperlink ref="J21" location="_ftn9" display="_ftn9" xr:uid="{00000000-0004-0000-0000-000008000000}"/>
    <hyperlink ref="J22" location="_ftn10" display="_ftn10" xr:uid="{00000000-0004-0000-0000-000009000000}"/>
    <hyperlink ref="J23" location="_ftn11" display="_ftn11" xr:uid="{00000000-0004-0000-0000-00000A000000}"/>
    <hyperlink ref="B25" location="_ftn12" display="_ftn12" xr:uid="{00000000-0004-0000-0000-00000B000000}"/>
    <hyperlink ref="H25" location="_ftn13" display="_ftn13" xr:uid="{00000000-0004-0000-0000-00000C000000}"/>
    <hyperlink ref="J25" location="_ftn14" display="_ftn14" xr:uid="{00000000-0004-0000-0000-00000D000000}"/>
    <hyperlink ref="J26" location="_ftn15" display="_ftn15" xr:uid="{00000000-0004-0000-0000-00000E000000}"/>
    <hyperlink ref="J28" location="_ftn16" display="_ftn16" xr:uid="{00000000-0004-0000-0000-00000F000000}"/>
    <hyperlink ref="B29" location="_ftn17" display="_ftn17" xr:uid="{00000000-0004-0000-0000-000010000000}"/>
    <hyperlink ref="J29" location="_ftn18" display="_ftn18" xr:uid="{00000000-0004-0000-0000-000011000000}"/>
    <hyperlink ref="D30" location="_ftn19" display="_ftn19" xr:uid="{00000000-0004-0000-0000-000012000000}"/>
    <hyperlink ref="D31" location="_ftn20" display="_ftn20" xr:uid="{00000000-0004-0000-0000-000013000000}"/>
    <hyperlink ref="A33" location="_ftnref1" display="_ftnref1" xr:uid="{00000000-0004-0000-0000-000014000000}"/>
    <hyperlink ref="A34" location="_ftnref2" display="_ftnref2" xr:uid="{00000000-0004-0000-0000-000015000000}"/>
    <hyperlink ref="A35" location="_ftnref3" display="_ftnref3" xr:uid="{00000000-0004-0000-0000-000016000000}"/>
    <hyperlink ref="A36" location="_ftnref4" display="_ftnref4" xr:uid="{00000000-0004-0000-0000-000017000000}"/>
    <hyperlink ref="A37" location="_ftnref5" display="_ftnref5" xr:uid="{00000000-0004-0000-0000-000018000000}"/>
    <hyperlink ref="A38" location="_ftnref6" display="_ftnref6" xr:uid="{00000000-0004-0000-0000-000019000000}"/>
    <hyperlink ref="A39" location="_ftnref7" display="_ftnref7" xr:uid="{00000000-0004-0000-0000-00001A000000}"/>
    <hyperlink ref="A40" location="_ftnref8" display="_ftnref8" xr:uid="{00000000-0004-0000-0000-00001B000000}"/>
    <hyperlink ref="A41" location="_ftnref9" display="_ftnref9" xr:uid="{00000000-0004-0000-0000-00001C000000}"/>
    <hyperlink ref="A42" location="_ftnref10" display="_ftnref10" xr:uid="{00000000-0004-0000-0000-00001D000000}"/>
    <hyperlink ref="A43" location="_ftnref11" display="_ftnref11" xr:uid="{00000000-0004-0000-0000-00001E000000}"/>
    <hyperlink ref="A44" location="_ftnref12" display="_ftnref12" xr:uid="{00000000-0004-0000-0000-00001F000000}"/>
    <hyperlink ref="A45" location="_ftnref13" display="_ftnref13" xr:uid="{00000000-0004-0000-0000-000020000000}"/>
    <hyperlink ref="A46" location="_ftnref14" display="_ftnref14" xr:uid="{00000000-0004-0000-0000-000021000000}"/>
    <hyperlink ref="A47" location="_ftnref15" display="_ftnref15" xr:uid="{00000000-0004-0000-0000-000022000000}"/>
    <hyperlink ref="A48" location="_ftnref16" display="_ftnref16" xr:uid="{00000000-0004-0000-0000-000023000000}"/>
    <hyperlink ref="A49" location="_ftnref17" display="_ftnref17" xr:uid="{00000000-0004-0000-0000-000024000000}"/>
    <hyperlink ref="A50" location="_ftnref18" display="_ftnref18" xr:uid="{00000000-0004-0000-0000-000025000000}"/>
    <hyperlink ref="A51" location="_ftnref19" display="_ftnref19" xr:uid="{00000000-0004-0000-0000-000026000000}"/>
    <hyperlink ref="A52" location="_ftnref20" display="_ftnref20" xr:uid="{00000000-0004-0000-0000-000027000000}"/>
    <hyperlink ref="J59" location="_ftn1" display="_ftn1" xr:uid="{00000000-0004-0000-0000-000028000000}"/>
    <hyperlink ref="J60" location="_ftn2" display="_ftn2" xr:uid="{00000000-0004-0000-0000-000029000000}"/>
    <hyperlink ref="J61" location="_ftn3" display="_ftn3" xr:uid="{00000000-0004-0000-0000-00002A000000}"/>
    <hyperlink ref="J62" location="_ftn4" display="_ftn4" xr:uid="{00000000-0004-0000-0000-00002B000000}"/>
    <hyperlink ref="J63" location="_ftn5" display="_ftn5" xr:uid="{00000000-0004-0000-0000-00002C000000}"/>
    <hyperlink ref="J64" location="_ftn6" display="_ftn6" xr:uid="{00000000-0004-0000-0000-00002D000000}"/>
    <hyperlink ref="J65" location="_ftn7" display="_ftn7" xr:uid="{00000000-0004-0000-0000-00002E000000}"/>
    <hyperlink ref="J66" location="_ftn8" display="_ftn8" xr:uid="{00000000-0004-0000-0000-00002F000000}"/>
    <hyperlink ref="J67" location="_ftn9" display="_ftn9" xr:uid="{00000000-0004-0000-0000-000030000000}"/>
    <hyperlink ref="J69" location="_ftn10" display="_ftn10" xr:uid="{00000000-0004-0000-0000-000031000000}"/>
    <hyperlink ref="J71" location="_ftn11" display="_ftn11" xr:uid="{00000000-0004-0000-0000-000032000000}"/>
    <hyperlink ref="J72" location="_ftn12" display="_ftn12" xr:uid="{00000000-0004-0000-0000-000033000000}"/>
    <hyperlink ref="J73" location="_ftn13" display="_ftn13" xr:uid="{00000000-0004-0000-0000-000034000000}"/>
    <hyperlink ref="J74" location="_ftn14" display="_ftn14" xr:uid="{00000000-0004-0000-0000-000035000000}"/>
    <hyperlink ref="J75" location="_ftn15" display="_ftn15" xr:uid="{00000000-0004-0000-0000-000036000000}"/>
    <hyperlink ref="J76" location="_ftn16" display="_ftn16" xr:uid="{00000000-0004-0000-0000-000037000000}"/>
    <hyperlink ref="J79" location="_ftn17" display="_ftn17" xr:uid="{00000000-0004-0000-0000-000038000000}"/>
    <hyperlink ref="J80" location="_ftn18" display="_ftn18" xr:uid="{00000000-0004-0000-0000-000039000000}"/>
    <hyperlink ref="J81" location="_ftn19" display="_ftn19" xr:uid="{00000000-0004-0000-0000-00003A000000}"/>
    <hyperlink ref="J83" location="_ftn20" display="_ftn20" xr:uid="{00000000-0004-0000-0000-00003B000000}"/>
    <hyperlink ref="A85" location="_ftnref1" display="_ftnref1" xr:uid="{00000000-0004-0000-0000-00003C000000}"/>
    <hyperlink ref="A86" location="_ftnref2" display="_ftnref2" xr:uid="{00000000-0004-0000-0000-00003D000000}"/>
    <hyperlink ref="A87" location="_ftnref3" display="_ftnref3" xr:uid="{00000000-0004-0000-0000-00003E000000}"/>
    <hyperlink ref="A88" location="_ftnref4" display="_ftnref4" xr:uid="{00000000-0004-0000-0000-00003F000000}"/>
    <hyperlink ref="A89" location="_ftnref5" display="_ftnref5" xr:uid="{00000000-0004-0000-0000-000040000000}"/>
    <hyperlink ref="A90" location="_ftnref6" display="_ftnref6" xr:uid="{00000000-0004-0000-0000-000041000000}"/>
    <hyperlink ref="A91" location="_ftnref7" display="_ftnref7" xr:uid="{00000000-0004-0000-0000-000042000000}"/>
    <hyperlink ref="A92" location="_ftnref8" display="_ftnref8" xr:uid="{00000000-0004-0000-0000-000043000000}"/>
    <hyperlink ref="A93" location="_ftnref9" display="_ftnref9" xr:uid="{00000000-0004-0000-0000-000044000000}"/>
    <hyperlink ref="A94" location="_ftnref10" display="_ftnref10" xr:uid="{00000000-0004-0000-0000-000045000000}"/>
    <hyperlink ref="A95" location="_ftnref11" display="_ftnref11" xr:uid="{00000000-0004-0000-0000-000046000000}"/>
    <hyperlink ref="A96" location="_ftnref12" display="_ftnref12" xr:uid="{00000000-0004-0000-0000-000047000000}"/>
    <hyperlink ref="A97" location="_ftnref13" display="_ftnref13" xr:uid="{00000000-0004-0000-0000-000048000000}"/>
    <hyperlink ref="A98" location="_ftnref14" display="_ftnref14" xr:uid="{00000000-0004-0000-0000-000049000000}"/>
    <hyperlink ref="A99" location="_ftnref15" display="_ftnref15" xr:uid="{00000000-0004-0000-0000-00004A000000}"/>
    <hyperlink ref="A100" location="_ftnref16" display="_ftnref16" xr:uid="{00000000-0004-0000-0000-00004B000000}"/>
    <hyperlink ref="A101" location="_ftnref17" display="_ftnref17" xr:uid="{00000000-0004-0000-0000-00004C000000}"/>
    <hyperlink ref="A102" location="_ftnref18" display="_ftnref18" xr:uid="{00000000-0004-0000-0000-00004D000000}"/>
    <hyperlink ref="A103" location="_ftnref19" display="_ftnref19" xr:uid="{00000000-0004-0000-0000-00004E000000}"/>
    <hyperlink ref="A104" location="_ftnref20" display="_ftnref20" xr:uid="{00000000-0004-0000-0000-00004F000000}"/>
    <hyperlink ref="A111" location="_ftn1" display="_ftn1" xr:uid="{00000000-0004-0000-0000-000050000000}"/>
    <hyperlink ref="J112" location="_ftn2" display="_ftn2" xr:uid="{00000000-0004-0000-0000-000051000000}"/>
    <hyperlink ref="J113" location="_ftn3" display="_ftn3" xr:uid="{00000000-0004-0000-0000-000052000000}"/>
    <hyperlink ref="A115" location="_ftnref1" display="_ftnref1" xr:uid="{00000000-0004-0000-0000-000053000000}"/>
    <hyperlink ref="A116" location="_ftnref2" display="_ftnref2" xr:uid="{00000000-0004-0000-0000-000054000000}"/>
    <hyperlink ref="A117" location="_ftnref3" display="_ftnref3" xr:uid="{00000000-0004-0000-0000-000055000000}"/>
    <hyperlink ref="J124" location="_ftn1" display="_ftn1" xr:uid="{00000000-0004-0000-0000-000056000000}"/>
    <hyperlink ref="J125" location="_ftn2" display="_ftn2" xr:uid="{00000000-0004-0000-0000-000057000000}"/>
    <hyperlink ref="J126" location="_ftn3" display="_ftn3" xr:uid="{00000000-0004-0000-0000-000058000000}"/>
    <hyperlink ref="H127" location="_ftn4" display="_ftn4" xr:uid="{00000000-0004-0000-0000-000059000000}"/>
    <hyperlink ref="J129" location="_ftn5" display="_ftn5" xr:uid="{00000000-0004-0000-0000-00005A000000}"/>
    <hyperlink ref="J130" location="_ftn6" display="_ftn6" xr:uid="{00000000-0004-0000-0000-00005B000000}"/>
    <hyperlink ref="J132" location="_ftn7" display="_ftn7" xr:uid="{00000000-0004-0000-0000-00005C000000}"/>
    <hyperlink ref="J133" location="_ftn8" display="_ftn8" xr:uid="{00000000-0004-0000-0000-00005D000000}"/>
    <hyperlink ref="J134" location="_ftn9" display="_ftn9" xr:uid="{00000000-0004-0000-0000-00005E000000}"/>
    <hyperlink ref="J136" location="_ftn10" display="_ftn10" xr:uid="{00000000-0004-0000-0000-00005F000000}"/>
    <hyperlink ref="J138" location="_ftn11" display="_ftn11" xr:uid="{00000000-0004-0000-0000-000060000000}"/>
    <hyperlink ref="J140" location="_ftn12" display="_ftn12" xr:uid="{00000000-0004-0000-0000-000061000000}"/>
    <hyperlink ref="J141" location="_ftn13" display="_ftn13" xr:uid="{00000000-0004-0000-0000-000062000000}"/>
    <hyperlink ref="A146" location="_ftnref1" display="_ftnref1" xr:uid="{00000000-0004-0000-0000-000063000000}"/>
    <hyperlink ref="A147" location="_ftnref2" display="_ftnref2" xr:uid="{00000000-0004-0000-0000-000064000000}"/>
    <hyperlink ref="A148" location="_ftnref3" display="_ftnref3" xr:uid="{00000000-0004-0000-0000-000065000000}"/>
    <hyperlink ref="A149" location="_ftnref4" display="_ftnref4" xr:uid="{00000000-0004-0000-0000-000066000000}"/>
    <hyperlink ref="A150" location="_ftnref5" display="_ftnref5" xr:uid="{00000000-0004-0000-0000-000067000000}"/>
    <hyperlink ref="A151" location="_ftnref6" display="_ftnref6" xr:uid="{00000000-0004-0000-0000-000068000000}"/>
    <hyperlink ref="A152" location="_ftnref7" display="_ftnref7" xr:uid="{00000000-0004-0000-0000-000069000000}"/>
    <hyperlink ref="A153" location="_ftnref8" display="_ftnref8" xr:uid="{00000000-0004-0000-0000-00006A000000}"/>
    <hyperlink ref="A154" location="_ftnref9" display="_ftnref9" xr:uid="{00000000-0004-0000-0000-00006B000000}"/>
    <hyperlink ref="A155" location="_ftnref10" display="_ftnref10" xr:uid="{00000000-0004-0000-0000-00006C000000}"/>
    <hyperlink ref="A156" location="_ftnref11" display="_ftnref11" xr:uid="{00000000-0004-0000-0000-00006D000000}"/>
    <hyperlink ref="A157" location="_ftnref12" display="_ftnref12" xr:uid="{00000000-0004-0000-0000-00006E000000}"/>
    <hyperlink ref="A158" location="_ftnref13" display="_ftnref13" xr:uid="{00000000-0004-0000-0000-00006F000000}"/>
    <hyperlink ref="J164" location="_ftn1" display="_ftn1" xr:uid="{00000000-0004-0000-0000-000070000000}"/>
    <hyperlink ref="D167" location="_ftn2" display="_ftn2" xr:uid="{00000000-0004-0000-0000-000071000000}"/>
    <hyperlink ref="F167" location="_ftn3" display="_ftn3" xr:uid="{00000000-0004-0000-0000-000072000000}"/>
    <hyperlink ref="A175" location="_ftnref1" display="_ftnref1" xr:uid="{00000000-0004-0000-0000-000073000000}"/>
    <hyperlink ref="A176" location="_ftnref2" display="_ftnref2" xr:uid="{00000000-0004-0000-0000-000074000000}"/>
    <hyperlink ref="A177" location="_ftnref3" display="_ftnref3" xr:uid="{00000000-0004-0000-0000-000075000000}"/>
    <hyperlink ref="F189" location="_ftn1" display="_ftn1" xr:uid="{00000000-0004-0000-0000-000076000000}"/>
    <hyperlink ref="A191" location="_ftnref1" display="_ftnref1" xr:uid="{00000000-0004-0000-0000-000077000000}"/>
    <hyperlink ref="J198" location="_ftn1" display="_ftn1" xr:uid="{00000000-0004-0000-0000-000078000000}"/>
    <hyperlink ref="J201" location="_ftn2" display="_ftn2" xr:uid="{00000000-0004-0000-0000-000079000000}"/>
    <hyperlink ref="J205" location="_ftn3" display="_ftn3" xr:uid="{00000000-0004-0000-0000-00007A000000}"/>
    <hyperlink ref="J206" location="_ftn4" display="_ftn4" xr:uid="{00000000-0004-0000-0000-00007B000000}"/>
    <hyperlink ref="A209" location="_ftnref1" display="_ftnref1" xr:uid="{00000000-0004-0000-0000-00007C000000}"/>
    <hyperlink ref="A210" location="_ftnref2" display="_ftnref2" xr:uid="{00000000-0004-0000-0000-00007D000000}"/>
    <hyperlink ref="A211" location="_ftnref3" display="_ftnref3" xr:uid="{00000000-0004-0000-0000-00007E000000}"/>
    <hyperlink ref="A212" location="_ftnref4" display="_ftnref4" xr:uid="{00000000-0004-0000-0000-00007F000000}"/>
    <hyperlink ref="J219" location="_ftn1" display="_ftn1" xr:uid="{00000000-0004-0000-0000-000080000000}"/>
    <hyperlink ref="J223" location="_ftn2" display="_ftn2" xr:uid="{00000000-0004-0000-0000-000081000000}"/>
    <hyperlink ref="A225" location="_ftnref1" display="_ftnref1" xr:uid="{00000000-0004-0000-0000-000082000000}"/>
    <hyperlink ref="A226" location="_ftnref2" display="_ftnref2" xr:uid="{00000000-0004-0000-0000-000083000000}"/>
    <hyperlink ref="B233" location="_ftn1" display="_ftn1" xr:uid="{00000000-0004-0000-0000-000084000000}"/>
    <hyperlink ref="J234" location="_ftn2" display="_ftn2" xr:uid="{00000000-0004-0000-0000-000085000000}"/>
    <hyperlink ref="A237" location="_ftnref1" display="_ftnref1" xr:uid="{00000000-0004-0000-0000-000086000000}"/>
    <hyperlink ref="A238" location="_ftnref2" display="_ftnref2" xr:uid="{00000000-0004-0000-0000-000087000000}"/>
    <hyperlink ref="J248" location="_ftn1" display="_ftn1" xr:uid="{00000000-0004-0000-0000-000088000000}"/>
    <hyperlink ref="J250" location="_ftn2" display="_ftn2" xr:uid="{00000000-0004-0000-0000-000089000000}"/>
    <hyperlink ref="A252" location="_ftnref1" display="_ftnref1" xr:uid="{00000000-0004-0000-0000-00008A000000}"/>
    <hyperlink ref="A253" location="_ftnref2" display="_ftnref2" xr:uid="{00000000-0004-0000-0000-00008B000000}"/>
    <hyperlink ref="H261" location="_ftn1" display="_ftn1" xr:uid="{00000000-0004-0000-0000-00008C000000}"/>
    <hyperlink ref="A265" location="_ftnref1" display="_ftnref1" xr:uid="{00000000-0004-0000-0000-00008D000000}"/>
    <hyperlink ref="J273" location="_ftn1" display="_ftn1" xr:uid="{00000000-0004-0000-0000-00008E000000}"/>
    <hyperlink ref="J274" location="_ftn2" display="_ftn2" xr:uid="{00000000-0004-0000-0000-00008F000000}"/>
    <hyperlink ref="B275" location="_ftn3" display="_ftn3" xr:uid="{00000000-0004-0000-0000-000090000000}"/>
    <hyperlink ref="H276" location="_ftn4" display="_ftn4" xr:uid="{00000000-0004-0000-0000-000091000000}"/>
    <hyperlink ref="J277" location="_ftn5" display="_ftn5" xr:uid="{00000000-0004-0000-0000-000092000000}"/>
    <hyperlink ref="A280" location="_ftnref1" display="_ftnref1" xr:uid="{00000000-0004-0000-0000-000093000000}"/>
    <hyperlink ref="A281" location="_ftnref2" display="_ftnref2" xr:uid="{00000000-0004-0000-0000-000094000000}"/>
    <hyperlink ref="A282" location="_ftnref3" display="_ftnref3" xr:uid="{00000000-0004-0000-0000-000095000000}"/>
    <hyperlink ref="A283" location="_ftnref4" display="_ftnref4" xr:uid="{00000000-0004-0000-0000-000096000000}"/>
    <hyperlink ref="A284" location="_ftnref5" display="_ftnref5" xr:uid="{00000000-0004-0000-0000-000097000000}"/>
    <hyperlink ref="J292" location="_ftn1" display="_ftn1" xr:uid="{00000000-0004-0000-0000-000098000000}"/>
    <hyperlink ref="A297" location="_ftnref1" display="_ftnref1" xr:uid="{00000000-0004-0000-0000-000099000000}"/>
  </hyperlinks>
  <pageMargins left="0.511811024" right="0.511811024" top="0.78740157499999996" bottom="0.78740157499999996" header="0.31496062000000002" footer="0.31496062000000002"/>
  <pageSetup paperSize="9" orientation="portrait" r:id="rId1"/>
  <ignoredErrors>
    <ignoredError sqref="N201 N249"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219"/>
  <sheetViews>
    <sheetView zoomScaleNormal="100" workbookViewId="0">
      <selection activeCell="A180" sqref="A180:J180"/>
    </sheetView>
  </sheetViews>
  <sheetFormatPr defaultRowHeight="15" x14ac:dyDescent="0.2"/>
  <cols>
    <col min="1" max="1" width="16.41015625" customWidth="1"/>
    <col min="2" max="2" width="16.6796875" customWidth="1"/>
    <col min="3" max="3" width="15.87109375" customWidth="1"/>
    <col min="4" max="4" width="14.2578125" customWidth="1"/>
    <col min="5" max="5" width="16.94921875" customWidth="1"/>
    <col min="6" max="7" width="18.29296875" customWidth="1"/>
    <col min="8" max="8" width="22.734375" customWidth="1"/>
    <col min="9" max="9" width="20.4453125" customWidth="1"/>
    <col min="10" max="10" width="20.04296875" customWidth="1"/>
    <col min="11" max="11" width="18.5625" style="210" customWidth="1"/>
  </cols>
  <sheetData>
    <row r="1" spans="1:17" s="1" customFormat="1" ht="50.45" customHeight="1" x14ac:dyDescent="0.2">
      <c r="A1" s="417" t="s">
        <v>0</v>
      </c>
      <c r="B1" s="417"/>
      <c r="C1" s="417"/>
      <c r="D1" s="417"/>
      <c r="E1" s="417"/>
      <c r="F1" s="417"/>
      <c r="G1" s="417"/>
      <c r="H1" s="417"/>
      <c r="I1" s="417"/>
      <c r="J1" s="417"/>
      <c r="K1" s="207"/>
      <c r="L1" s="168"/>
      <c r="M1" s="168"/>
      <c r="N1" s="168"/>
      <c r="O1" s="168"/>
      <c r="P1" s="168"/>
      <c r="Q1" s="168"/>
    </row>
    <row r="2" spans="1:17" s="1" customFormat="1" ht="33" customHeight="1" x14ac:dyDescent="0.2">
      <c r="A2" s="406" t="s">
        <v>1</v>
      </c>
      <c r="B2" s="406"/>
      <c r="C2" s="406"/>
      <c r="D2" s="406"/>
      <c r="E2" s="406"/>
      <c r="F2" s="406"/>
      <c r="G2" s="406"/>
      <c r="H2" s="406"/>
      <c r="I2" s="406"/>
      <c r="J2" s="406"/>
      <c r="K2" s="207"/>
      <c r="L2" s="168"/>
      <c r="M2" s="168"/>
      <c r="N2" s="168"/>
      <c r="O2" s="168"/>
      <c r="P2" s="168"/>
      <c r="Q2" s="168"/>
    </row>
    <row r="3" spans="1:17" s="167" customFormat="1" ht="30" customHeight="1" x14ac:dyDescent="0.2">
      <c r="A3" s="169" t="s">
        <v>569</v>
      </c>
      <c r="B3" s="170" t="s">
        <v>594</v>
      </c>
      <c r="C3" s="171" t="s">
        <v>595</v>
      </c>
      <c r="D3" s="169" t="s">
        <v>596</v>
      </c>
      <c r="E3" s="170" t="s">
        <v>570</v>
      </c>
      <c r="F3" s="170" t="s">
        <v>574</v>
      </c>
      <c r="G3" s="170" t="s">
        <v>575</v>
      </c>
      <c r="H3" s="171" t="s">
        <v>571</v>
      </c>
      <c r="I3" s="171" t="s">
        <v>572</v>
      </c>
      <c r="J3" s="171" t="s">
        <v>573</v>
      </c>
      <c r="K3" s="208"/>
    </row>
    <row r="4" spans="1:17" s="166" customFormat="1" x14ac:dyDescent="0.2">
      <c r="A4" s="172">
        <v>20</v>
      </c>
      <c r="B4" s="173">
        <v>8</v>
      </c>
      <c r="C4" s="174">
        <v>10</v>
      </c>
      <c r="D4" s="172">
        <v>2</v>
      </c>
      <c r="E4" s="173">
        <v>7</v>
      </c>
      <c r="F4" s="173">
        <v>1</v>
      </c>
      <c r="G4" s="173"/>
      <c r="H4" s="174">
        <v>7</v>
      </c>
      <c r="I4" s="174">
        <v>3</v>
      </c>
      <c r="J4" s="174">
        <v>0</v>
      </c>
      <c r="K4" s="209"/>
    </row>
    <row r="5" spans="1:17" s="166" customFormat="1" x14ac:dyDescent="0.2">
      <c r="A5" s="205"/>
      <c r="B5" s="191"/>
      <c r="C5" s="393" t="s">
        <v>590</v>
      </c>
      <c r="D5" s="394"/>
      <c r="E5" s="394"/>
      <c r="F5" s="394"/>
      <c r="G5" s="394"/>
      <c r="H5" s="395"/>
      <c r="I5" s="192"/>
      <c r="J5" s="192"/>
      <c r="K5" s="194"/>
    </row>
    <row r="6" spans="1:17" s="166" customFormat="1" x14ac:dyDescent="0.2">
      <c r="A6" s="205"/>
      <c r="B6" s="193"/>
      <c r="C6" s="196" t="s">
        <v>585</v>
      </c>
      <c r="D6" s="196" t="s">
        <v>586</v>
      </c>
      <c r="E6" s="196" t="s">
        <v>587</v>
      </c>
      <c r="F6" s="196" t="s">
        <v>588</v>
      </c>
      <c r="G6" s="196" t="s">
        <v>589</v>
      </c>
      <c r="H6" s="196" t="s">
        <v>53</v>
      </c>
      <c r="I6" s="194"/>
      <c r="J6" s="194"/>
      <c r="K6" s="194"/>
    </row>
    <row r="7" spans="1:17" s="166" customFormat="1" x14ac:dyDescent="0.2">
      <c r="A7" s="205"/>
      <c r="B7" s="193"/>
      <c r="C7" s="197">
        <v>16</v>
      </c>
      <c r="D7" s="198">
        <v>1</v>
      </c>
      <c r="E7" s="199">
        <v>2</v>
      </c>
      <c r="F7" s="203">
        <v>0</v>
      </c>
      <c r="G7" s="204">
        <v>0</v>
      </c>
      <c r="H7" s="195">
        <v>1</v>
      </c>
      <c r="I7" s="194"/>
      <c r="J7" s="194"/>
      <c r="K7" s="194"/>
    </row>
    <row r="8" spans="1:17" s="166" customFormat="1" x14ac:dyDescent="0.2">
      <c r="A8" s="205"/>
      <c r="B8" s="193"/>
      <c r="C8" s="393" t="s">
        <v>591</v>
      </c>
      <c r="D8" s="394"/>
      <c r="E8" s="394"/>
      <c r="F8" s="394"/>
      <c r="G8" s="394"/>
      <c r="H8" s="395"/>
      <c r="I8" s="194"/>
      <c r="J8" s="194"/>
      <c r="K8" s="194"/>
    </row>
    <row r="9" spans="1:17" s="166" customFormat="1" x14ac:dyDescent="0.2">
      <c r="A9" s="205"/>
      <c r="B9" s="193"/>
      <c r="C9" s="196" t="s">
        <v>585</v>
      </c>
      <c r="D9" s="196" t="s">
        <v>586</v>
      </c>
      <c r="E9" s="196" t="s">
        <v>587</v>
      </c>
      <c r="F9" s="196" t="s">
        <v>588</v>
      </c>
      <c r="G9" s="196" t="s">
        <v>589</v>
      </c>
      <c r="H9" s="196" t="s">
        <v>53</v>
      </c>
      <c r="I9" s="194"/>
      <c r="J9" s="194"/>
      <c r="K9" s="194"/>
    </row>
    <row r="10" spans="1:17" s="166" customFormat="1" x14ac:dyDescent="0.2">
      <c r="A10" s="205"/>
      <c r="B10" s="193"/>
      <c r="C10" s="197">
        <v>13</v>
      </c>
      <c r="D10" s="198">
        <v>3</v>
      </c>
      <c r="E10" s="200">
        <v>0</v>
      </c>
      <c r="F10" s="203">
        <v>0</v>
      </c>
      <c r="G10" s="204">
        <v>3</v>
      </c>
      <c r="H10" s="195">
        <v>1</v>
      </c>
      <c r="I10" s="194"/>
      <c r="J10" s="194"/>
      <c r="K10" s="194"/>
    </row>
    <row r="11" spans="1:17" x14ac:dyDescent="0.2">
      <c r="A11" s="404"/>
      <c r="B11" s="404"/>
      <c r="C11" s="404"/>
      <c r="D11" s="404"/>
      <c r="E11" s="404"/>
      <c r="F11" s="404"/>
      <c r="G11" s="404"/>
      <c r="H11" s="404"/>
      <c r="I11" s="404"/>
      <c r="J11" s="404"/>
    </row>
    <row r="12" spans="1:17" ht="34.5" customHeight="1" x14ac:dyDescent="0.2">
      <c r="A12" s="407" t="s">
        <v>132</v>
      </c>
      <c r="B12" s="401"/>
      <c r="C12" s="401"/>
      <c r="D12" s="401"/>
      <c r="E12" s="401"/>
      <c r="F12" s="401"/>
      <c r="G12" s="401"/>
      <c r="H12" s="401"/>
      <c r="I12" s="401"/>
      <c r="J12" s="408"/>
      <c r="K12" s="207"/>
      <c r="L12" s="168"/>
      <c r="M12" s="168"/>
      <c r="N12" s="168"/>
    </row>
    <row r="13" spans="1:17" ht="30" customHeight="1" x14ac:dyDescent="0.2">
      <c r="A13" s="169" t="s">
        <v>569</v>
      </c>
      <c r="B13" s="170" t="s">
        <v>594</v>
      </c>
      <c r="C13" s="171" t="s">
        <v>595</v>
      </c>
      <c r="D13" s="169" t="s">
        <v>596</v>
      </c>
      <c r="E13" s="170" t="s">
        <v>570</v>
      </c>
      <c r="F13" s="170" t="s">
        <v>574</v>
      </c>
      <c r="G13" s="170" t="s">
        <v>575</v>
      </c>
      <c r="H13" s="171" t="s">
        <v>571</v>
      </c>
      <c r="I13" s="171" t="s">
        <v>572</v>
      </c>
      <c r="J13" s="171" t="s">
        <v>573</v>
      </c>
    </row>
    <row r="14" spans="1:17" x14ac:dyDescent="0.2">
      <c r="A14" s="172">
        <v>25</v>
      </c>
      <c r="B14" s="173">
        <v>7</v>
      </c>
      <c r="C14" s="174">
        <v>18</v>
      </c>
      <c r="D14" s="172">
        <v>0</v>
      </c>
      <c r="E14" s="173">
        <v>6</v>
      </c>
      <c r="F14" s="173">
        <v>1</v>
      </c>
      <c r="G14" s="173"/>
      <c r="H14" s="174">
        <v>10</v>
      </c>
      <c r="I14" s="174">
        <v>7</v>
      </c>
      <c r="J14" s="174">
        <v>1</v>
      </c>
    </row>
    <row r="15" spans="1:17" s="166" customFormat="1" x14ac:dyDescent="0.2">
      <c r="A15" s="205"/>
      <c r="B15" s="191"/>
      <c r="C15" s="393" t="s">
        <v>590</v>
      </c>
      <c r="D15" s="394"/>
      <c r="E15" s="394"/>
      <c r="F15" s="394"/>
      <c r="G15" s="394"/>
      <c r="H15" s="395"/>
      <c r="I15" s="192"/>
      <c r="J15" s="192"/>
      <c r="K15" s="194"/>
    </row>
    <row r="16" spans="1:17" s="166" customFormat="1" x14ac:dyDescent="0.2">
      <c r="A16" s="205"/>
      <c r="B16" s="193"/>
      <c r="C16" s="196" t="s">
        <v>585</v>
      </c>
      <c r="D16" s="196" t="s">
        <v>586</v>
      </c>
      <c r="E16" s="196" t="s">
        <v>587</v>
      </c>
      <c r="F16" s="196" t="s">
        <v>588</v>
      </c>
      <c r="G16" s="196" t="s">
        <v>589</v>
      </c>
      <c r="H16" s="196" t="s">
        <v>53</v>
      </c>
      <c r="I16" s="194"/>
      <c r="J16" s="194"/>
      <c r="K16" s="194"/>
    </row>
    <row r="17" spans="1:14" s="166" customFormat="1" x14ac:dyDescent="0.2">
      <c r="A17" s="205"/>
      <c r="B17" s="193"/>
      <c r="C17" s="197">
        <v>21</v>
      </c>
      <c r="D17" s="198">
        <v>3</v>
      </c>
      <c r="E17" s="200">
        <v>1</v>
      </c>
      <c r="F17" s="203">
        <v>0</v>
      </c>
      <c r="G17" s="204">
        <v>0</v>
      </c>
      <c r="H17" s="195">
        <v>0</v>
      </c>
      <c r="I17" s="194"/>
      <c r="J17" s="194"/>
      <c r="K17" s="194"/>
    </row>
    <row r="18" spans="1:14" s="166" customFormat="1" x14ac:dyDescent="0.2">
      <c r="A18" s="205"/>
      <c r="B18" s="193"/>
      <c r="C18" s="393" t="s">
        <v>591</v>
      </c>
      <c r="D18" s="394"/>
      <c r="E18" s="394"/>
      <c r="F18" s="394"/>
      <c r="G18" s="394"/>
      <c r="H18" s="395"/>
      <c r="I18" s="194"/>
      <c r="J18" s="194"/>
      <c r="K18" s="194"/>
    </row>
    <row r="19" spans="1:14" s="166" customFormat="1" x14ac:dyDescent="0.2">
      <c r="A19" s="205"/>
      <c r="B19" s="193"/>
      <c r="C19" s="196" t="s">
        <v>585</v>
      </c>
      <c r="D19" s="196" t="s">
        <v>586</v>
      </c>
      <c r="E19" s="196" t="s">
        <v>587</v>
      </c>
      <c r="F19" s="196" t="s">
        <v>588</v>
      </c>
      <c r="G19" s="196" t="s">
        <v>589</v>
      </c>
      <c r="H19" s="196" t="s">
        <v>53</v>
      </c>
      <c r="I19" s="194"/>
      <c r="J19" s="194"/>
      <c r="K19" s="194"/>
    </row>
    <row r="20" spans="1:14" s="166" customFormat="1" x14ac:dyDescent="0.2">
      <c r="A20" s="205"/>
      <c r="B20" s="193"/>
      <c r="C20" s="197">
        <v>18</v>
      </c>
      <c r="D20" s="198">
        <v>1</v>
      </c>
      <c r="E20" s="200">
        <v>0</v>
      </c>
      <c r="F20" s="203">
        <v>0</v>
      </c>
      <c r="G20" s="204">
        <v>6</v>
      </c>
      <c r="H20" s="195">
        <v>0</v>
      </c>
      <c r="I20" s="194"/>
      <c r="J20" s="194"/>
      <c r="K20" s="194"/>
    </row>
    <row r="21" spans="1:14" x14ac:dyDescent="0.2">
      <c r="A21" s="404"/>
      <c r="B21" s="404"/>
      <c r="C21" s="404"/>
      <c r="D21" s="404"/>
      <c r="E21" s="404"/>
      <c r="F21" s="404"/>
      <c r="G21" s="404"/>
      <c r="H21" s="404"/>
      <c r="I21" s="404"/>
      <c r="J21" s="404"/>
    </row>
    <row r="22" spans="1:14" ht="36" customHeight="1" x14ac:dyDescent="0.2">
      <c r="A22" s="406" t="s">
        <v>236</v>
      </c>
      <c r="B22" s="406"/>
      <c r="C22" s="406"/>
      <c r="D22" s="406"/>
      <c r="E22" s="406"/>
      <c r="F22" s="406"/>
      <c r="G22" s="406"/>
      <c r="H22" s="406"/>
      <c r="I22" s="406"/>
      <c r="J22" s="406"/>
      <c r="K22" s="207"/>
      <c r="L22" s="168"/>
      <c r="M22" s="168"/>
      <c r="N22" s="168"/>
    </row>
    <row r="23" spans="1:14" ht="30" customHeight="1" x14ac:dyDescent="0.2">
      <c r="A23" s="169" t="s">
        <v>569</v>
      </c>
      <c r="B23" s="170" t="s">
        <v>594</v>
      </c>
      <c r="C23" s="171" t="s">
        <v>595</v>
      </c>
      <c r="D23" s="169" t="s">
        <v>596</v>
      </c>
      <c r="E23" s="170" t="s">
        <v>570</v>
      </c>
      <c r="F23" s="170" t="s">
        <v>574</v>
      </c>
      <c r="G23" s="170" t="s">
        <v>575</v>
      </c>
      <c r="H23" s="171" t="s">
        <v>571</v>
      </c>
      <c r="I23" s="171" t="s">
        <v>572</v>
      </c>
      <c r="J23" s="171" t="s">
        <v>573</v>
      </c>
    </row>
    <row r="24" spans="1:14" x14ac:dyDescent="0.2">
      <c r="A24" s="172">
        <v>3</v>
      </c>
      <c r="B24" s="173">
        <v>0</v>
      </c>
      <c r="C24" s="174">
        <v>3</v>
      </c>
      <c r="D24" s="172">
        <v>0</v>
      </c>
      <c r="E24" s="173">
        <v>0</v>
      </c>
      <c r="F24" s="173">
        <v>0</v>
      </c>
      <c r="G24" s="173"/>
      <c r="H24" s="174">
        <v>0</v>
      </c>
      <c r="I24" s="174">
        <v>2</v>
      </c>
      <c r="J24" s="174">
        <v>1</v>
      </c>
    </row>
    <row r="25" spans="1:14" s="166" customFormat="1" x14ac:dyDescent="0.2">
      <c r="A25" s="205"/>
      <c r="B25" s="191"/>
      <c r="C25" s="393" t="s">
        <v>590</v>
      </c>
      <c r="D25" s="394"/>
      <c r="E25" s="394"/>
      <c r="F25" s="394"/>
      <c r="G25" s="394"/>
      <c r="H25" s="395"/>
      <c r="I25" s="192"/>
      <c r="J25" s="192"/>
      <c r="K25" s="194"/>
    </row>
    <row r="26" spans="1:14" s="166" customFormat="1" x14ac:dyDescent="0.2">
      <c r="A26" s="205"/>
      <c r="B26" s="193"/>
      <c r="C26" s="196" t="s">
        <v>585</v>
      </c>
      <c r="D26" s="196" t="s">
        <v>586</v>
      </c>
      <c r="E26" s="196" t="s">
        <v>587</v>
      </c>
      <c r="F26" s="196" t="s">
        <v>588</v>
      </c>
      <c r="G26" s="196" t="s">
        <v>589</v>
      </c>
      <c r="H26" s="196" t="s">
        <v>53</v>
      </c>
      <c r="I26" s="194"/>
      <c r="J26" s="194"/>
      <c r="K26" s="194"/>
    </row>
    <row r="27" spans="1:14" s="166" customFormat="1" x14ac:dyDescent="0.2">
      <c r="A27" s="205"/>
      <c r="B27" s="193"/>
      <c r="C27" s="197">
        <v>3</v>
      </c>
      <c r="D27" s="198">
        <v>0</v>
      </c>
      <c r="E27" s="200">
        <v>0</v>
      </c>
      <c r="F27" s="203">
        <v>0</v>
      </c>
      <c r="G27" s="204">
        <v>0</v>
      </c>
      <c r="H27" s="195">
        <v>0</v>
      </c>
      <c r="I27" s="194"/>
      <c r="J27" s="194"/>
      <c r="K27" s="194"/>
    </row>
    <row r="28" spans="1:14" s="166" customFormat="1" x14ac:dyDescent="0.2">
      <c r="A28" s="205"/>
      <c r="B28" s="193"/>
      <c r="C28" s="405" t="s">
        <v>591</v>
      </c>
      <c r="D28" s="405"/>
      <c r="E28" s="405"/>
      <c r="F28" s="405"/>
      <c r="G28" s="405"/>
      <c r="H28" s="405"/>
      <c r="I28" s="194"/>
      <c r="J28" s="194"/>
      <c r="K28" s="194"/>
    </row>
    <row r="29" spans="1:14" s="166" customFormat="1" x14ac:dyDescent="0.2">
      <c r="A29" s="205"/>
      <c r="B29" s="193"/>
      <c r="C29" s="196" t="s">
        <v>585</v>
      </c>
      <c r="D29" s="196" t="s">
        <v>586</v>
      </c>
      <c r="E29" s="196" t="s">
        <v>587</v>
      </c>
      <c r="F29" s="196" t="s">
        <v>588</v>
      </c>
      <c r="G29" s="196" t="s">
        <v>589</v>
      </c>
      <c r="H29" s="196" t="s">
        <v>53</v>
      </c>
      <c r="I29" s="194"/>
      <c r="J29" s="194"/>
      <c r="K29" s="194"/>
    </row>
    <row r="30" spans="1:14" s="166" customFormat="1" x14ac:dyDescent="0.2">
      <c r="A30" s="205"/>
      <c r="B30" s="193"/>
      <c r="C30" s="197">
        <v>1</v>
      </c>
      <c r="D30" s="198">
        <v>1</v>
      </c>
      <c r="E30" s="200">
        <v>0</v>
      </c>
      <c r="F30" s="203">
        <v>0</v>
      </c>
      <c r="G30" s="204">
        <v>1</v>
      </c>
      <c r="H30" s="195">
        <v>0</v>
      </c>
      <c r="I30" s="194"/>
      <c r="J30" s="194"/>
      <c r="K30" s="194"/>
    </row>
    <row r="31" spans="1:14" x14ac:dyDescent="0.2">
      <c r="A31" s="404"/>
      <c r="B31" s="404"/>
      <c r="C31" s="404"/>
      <c r="D31" s="404"/>
      <c r="E31" s="404"/>
      <c r="F31" s="404"/>
      <c r="G31" s="404"/>
      <c r="H31" s="404"/>
      <c r="I31" s="404"/>
      <c r="J31" s="404"/>
    </row>
    <row r="32" spans="1:14" ht="42" customHeight="1" x14ac:dyDescent="0.2">
      <c r="A32" s="407" t="s">
        <v>250</v>
      </c>
      <c r="B32" s="401"/>
      <c r="C32" s="401"/>
      <c r="D32" s="401"/>
      <c r="E32" s="401"/>
      <c r="F32" s="401"/>
      <c r="G32" s="401"/>
      <c r="H32" s="401"/>
      <c r="I32" s="401"/>
      <c r="J32" s="408"/>
      <c r="K32" s="207"/>
      <c r="L32" s="168"/>
      <c r="M32" s="168"/>
      <c r="N32" s="168"/>
    </row>
    <row r="33" spans="1:13" ht="30" customHeight="1" x14ac:dyDescent="0.2">
      <c r="A33" s="169" t="s">
        <v>569</v>
      </c>
      <c r="B33" s="170" t="s">
        <v>594</v>
      </c>
      <c r="C33" s="171" t="s">
        <v>595</v>
      </c>
      <c r="D33" s="169" t="s">
        <v>596</v>
      </c>
      <c r="E33" s="170" t="s">
        <v>570</v>
      </c>
      <c r="F33" s="170" t="s">
        <v>574</v>
      </c>
      <c r="G33" s="170" t="s">
        <v>575</v>
      </c>
      <c r="H33" s="171" t="s">
        <v>571</v>
      </c>
      <c r="I33" s="171" t="s">
        <v>572</v>
      </c>
      <c r="J33" s="171" t="s">
        <v>573</v>
      </c>
    </row>
    <row r="34" spans="1:13" x14ac:dyDescent="0.2">
      <c r="A34" s="172">
        <v>20</v>
      </c>
      <c r="B34" s="173">
        <v>6</v>
      </c>
      <c r="C34" s="174">
        <v>10</v>
      </c>
      <c r="D34" s="172">
        <v>4</v>
      </c>
      <c r="E34" s="173">
        <v>3</v>
      </c>
      <c r="F34" s="173">
        <v>2</v>
      </c>
      <c r="G34" s="173">
        <v>1</v>
      </c>
      <c r="H34" s="174">
        <v>3</v>
      </c>
      <c r="I34" s="174">
        <v>4</v>
      </c>
      <c r="J34" s="174">
        <v>3</v>
      </c>
    </row>
    <row r="35" spans="1:13" s="166" customFormat="1" x14ac:dyDescent="0.2">
      <c r="A35" s="205"/>
      <c r="B35" s="191"/>
      <c r="C35" s="393" t="s">
        <v>590</v>
      </c>
      <c r="D35" s="394"/>
      <c r="E35" s="394"/>
      <c r="F35" s="394"/>
      <c r="G35" s="394"/>
      <c r="H35" s="395"/>
      <c r="I35" s="192"/>
      <c r="J35" s="192"/>
      <c r="K35" s="194"/>
    </row>
    <row r="36" spans="1:13" s="166" customFormat="1" x14ac:dyDescent="0.2">
      <c r="A36" s="205"/>
      <c r="B36" s="193"/>
      <c r="C36" s="196" t="s">
        <v>585</v>
      </c>
      <c r="D36" s="196" t="s">
        <v>586</v>
      </c>
      <c r="E36" s="196" t="s">
        <v>587</v>
      </c>
      <c r="F36" s="196" t="s">
        <v>588</v>
      </c>
      <c r="G36" s="196" t="s">
        <v>589</v>
      </c>
      <c r="H36" s="196" t="s">
        <v>53</v>
      </c>
      <c r="I36" s="194"/>
      <c r="J36" s="194"/>
      <c r="K36" s="194"/>
    </row>
    <row r="37" spans="1:13" s="166" customFormat="1" x14ac:dyDescent="0.2">
      <c r="A37" s="205"/>
      <c r="B37" s="201"/>
      <c r="C37" s="197">
        <v>13</v>
      </c>
      <c r="D37" s="198">
        <v>6</v>
      </c>
      <c r="E37" s="200">
        <v>0</v>
      </c>
      <c r="F37" s="203">
        <v>0</v>
      </c>
      <c r="G37" s="204">
        <v>0</v>
      </c>
      <c r="H37" s="195">
        <v>1</v>
      </c>
      <c r="I37" s="202"/>
      <c r="J37" s="194"/>
      <c r="K37" s="194"/>
    </row>
    <row r="38" spans="1:13" s="166" customFormat="1" x14ac:dyDescent="0.2">
      <c r="A38" s="205"/>
      <c r="B38" s="193"/>
      <c r="C38" s="393" t="s">
        <v>591</v>
      </c>
      <c r="D38" s="394"/>
      <c r="E38" s="394"/>
      <c r="F38" s="394"/>
      <c r="G38" s="394"/>
      <c r="H38" s="395"/>
      <c r="I38" s="194"/>
      <c r="J38" s="194"/>
      <c r="K38" s="194"/>
    </row>
    <row r="39" spans="1:13" s="166" customFormat="1" x14ac:dyDescent="0.2">
      <c r="A39" s="205"/>
      <c r="B39" s="193"/>
      <c r="C39" s="196" t="s">
        <v>585</v>
      </c>
      <c r="D39" s="196" t="s">
        <v>586</v>
      </c>
      <c r="E39" s="196" t="s">
        <v>587</v>
      </c>
      <c r="F39" s="196" t="s">
        <v>588</v>
      </c>
      <c r="G39" s="196" t="s">
        <v>589</v>
      </c>
      <c r="H39" s="196" t="s">
        <v>53</v>
      </c>
      <c r="I39" s="194"/>
      <c r="J39" s="194"/>
      <c r="K39" s="194"/>
    </row>
    <row r="40" spans="1:13" s="166" customFormat="1" x14ac:dyDescent="0.2">
      <c r="A40" s="205"/>
      <c r="B40" s="201"/>
      <c r="C40" s="197">
        <v>2</v>
      </c>
      <c r="D40" s="198">
        <v>3</v>
      </c>
      <c r="E40" s="200">
        <v>0</v>
      </c>
      <c r="F40" s="203">
        <v>0</v>
      </c>
      <c r="G40" s="204">
        <v>14</v>
      </c>
      <c r="H40" s="195">
        <v>1</v>
      </c>
      <c r="I40" s="194"/>
      <c r="J40" s="194"/>
      <c r="K40" s="194"/>
    </row>
    <row r="41" spans="1:13" x14ac:dyDescent="0.2">
      <c r="A41" s="404"/>
      <c r="B41" s="404"/>
      <c r="C41" s="402"/>
      <c r="D41" s="402"/>
      <c r="E41" s="402"/>
      <c r="F41" s="402"/>
      <c r="G41" s="402"/>
      <c r="H41" s="404"/>
      <c r="I41" s="404"/>
      <c r="J41" s="404"/>
    </row>
    <row r="42" spans="1:13" ht="32.25" customHeight="1" x14ac:dyDescent="0.2">
      <c r="A42" s="406" t="s">
        <v>359</v>
      </c>
      <c r="B42" s="406"/>
      <c r="C42" s="406"/>
      <c r="D42" s="406"/>
      <c r="E42" s="406"/>
      <c r="F42" s="406"/>
      <c r="G42" s="406"/>
      <c r="H42" s="406"/>
      <c r="I42" s="406"/>
      <c r="J42" s="406"/>
      <c r="K42" s="207"/>
      <c r="L42" s="168"/>
      <c r="M42" s="168"/>
    </row>
    <row r="43" spans="1:13" ht="30" customHeight="1" x14ac:dyDescent="0.2">
      <c r="A43" s="169" t="s">
        <v>569</v>
      </c>
      <c r="B43" s="170" t="s">
        <v>594</v>
      </c>
      <c r="C43" s="171" t="s">
        <v>595</v>
      </c>
      <c r="D43" s="169" t="s">
        <v>596</v>
      </c>
      <c r="E43" s="170" t="s">
        <v>570</v>
      </c>
      <c r="F43" s="170" t="s">
        <v>574</v>
      </c>
      <c r="G43" s="170" t="s">
        <v>575</v>
      </c>
      <c r="H43" s="171" t="s">
        <v>571</v>
      </c>
      <c r="I43" s="171" t="s">
        <v>572</v>
      </c>
      <c r="J43" s="171" t="s">
        <v>573</v>
      </c>
    </row>
    <row r="44" spans="1:13" x14ac:dyDescent="0.2">
      <c r="A44" s="175">
        <v>9</v>
      </c>
      <c r="B44" s="176">
        <v>4</v>
      </c>
      <c r="C44" s="177">
        <v>5</v>
      </c>
      <c r="D44" s="175">
        <v>0</v>
      </c>
      <c r="E44" s="176">
        <v>4</v>
      </c>
      <c r="F44" s="176">
        <v>0</v>
      </c>
      <c r="G44" s="176">
        <v>0</v>
      </c>
      <c r="H44" s="177">
        <v>5</v>
      </c>
      <c r="I44" s="177">
        <v>0</v>
      </c>
      <c r="J44" s="177">
        <v>0</v>
      </c>
    </row>
    <row r="45" spans="1:13" s="166" customFormat="1" x14ac:dyDescent="0.2">
      <c r="A45" s="205"/>
      <c r="B45" s="191"/>
      <c r="C45" s="393" t="s">
        <v>590</v>
      </c>
      <c r="D45" s="394"/>
      <c r="E45" s="394"/>
      <c r="F45" s="394"/>
      <c r="G45" s="394"/>
      <c r="H45" s="395"/>
      <c r="I45" s="192"/>
      <c r="J45" s="192"/>
      <c r="K45" s="194"/>
    </row>
    <row r="46" spans="1:13" s="166" customFormat="1" x14ac:dyDescent="0.2">
      <c r="A46" s="205"/>
      <c r="B46" s="193"/>
      <c r="C46" s="196" t="s">
        <v>585</v>
      </c>
      <c r="D46" s="196" t="s">
        <v>586</v>
      </c>
      <c r="E46" s="196" t="s">
        <v>587</v>
      </c>
      <c r="F46" s="196" t="s">
        <v>588</v>
      </c>
      <c r="G46" s="196" t="s">
        <v>589</v>
      </c>
      <c r="H46" s="196" t="s">
        <v>53</v>
      </c>
      <c r="I46" s="194"/>
      <c r="J46" s="194"/>
      <c r="K46" s="194"/>
    </row>
    <row r="47" spans="1:13" s="166" customFormat="1" x14ac:dyDescent="0.2">
      <c r="A47" s="205"/>
      <c r="B47" s="201"/>
      <c r="C47" s="197">
        <v>9</v>
      </c>
      <c r="D47" s="198">
        <v>0</v>
      </c>
      <c r="E47" s="200">
        <v>0</v>
      </c>
      <c r="F47" s="203">
        <v>0</v>
      </c>
      <c r="G47" s="204">
        <v>0</v>
      </c>
      <c r="H47" s="195">
        <v>0</v>
      </c>
      <c r="I47" s="202"/>
      <c r="J47" s="194"/>
      <c r="K47" s="194"/>
    </row>
    <row r="48" spans="1:13" s="166" customFormat="1" x14ac:dyDescent="0.2">
      <c r="A48" s="205"/>
      <c r="B48" s="193"/>
      <c r="C48" s="393" t="s">
        <v>591</v>
      </c>
      <c r="D48" s="394"/>
      <c r="E48" s="394"/>
      <c r="F48" s="394"/>
      <c r="G48" s="394"/>
      <c r="H48" s="395"/>
      <c r="I48" s="194"/>
      <c r="J48" s="194"/>
      <c r="K48" s="194"/>
    </row>
    <row r="49" spans="1:13" s="166" customFormat="1" x14ac:dyDescent="0.2">
      <c r="A49" s="205"/>
      <c r="B49" s="193"/>
      <c r="C49" s="196" t="s">
        <v>585</v>
      </c>
      <c r="D49" s="196" t="s">
        <v>586</v>
      </c>
      <c r="E49" s="196" t="s">
        <v>587</v>
      </c>
      <c r="F49" s="196" t="s">
        <v>588</v>
      </c>
      <c r="G49" s="196" t="s">
        <v>589</v>
      </c>
      <c r="H49" s="196" t="s">
        <v>53</v>
      </c>
      <c r="I49" s="194"/>
      <c r="J49" s="194"/>
      <c r="K49" s="194"/>
    </row>
    <row r="50" spans="1:13" s="166" customFormat="1" x14ac:dyDescent="0.2">
      <c r="A50" s="205"/>
      <c r="B50" s="201"/>
      <c r="C50" s="197">
        <v>0</v>
      </c>
      <c r="D50" s="198">
        <v>9</v>
      </c>
      <c r="E50" s="200">
        <v>0</v>
      </c>
      <c r="F50" s="203">
        <v>0</v>
      </c>
      <c r="G50" s="204">
        <v>0</v>
      </c>
      <c r="H50" s="195">
        <v>0</v>
      </c>
      <c r="I50" s="194"/>
      <c r="J50" s="194"/>
      <c r="K50" s="194"/>
    </row>
    <row r="51" spans="1:13" x14ac:dyDescent="0.2">
      <c r="A51" s="404"/>
      <c r="B51" s="404"/>
      <c r="C51" s="402"/>
      <c r="D51" s="402"/>
      <c r="E51" s="402"/>
      <c r="F51" s="402"/>
      <c r="G51" s="402"/>
      <c r="H51" s="404"/>
      <c r="I51" s="404"/>
      <c r="J51" s="404"/>
    </row>
    <row r="52" spans="1:13" ht="17.25" customHeight="1" x14ac:dyDescent="0.2">
      <c r="A52" s="401" t="s">
        <v>389</v>
      </c>
      <c r="B52" s="401"/>
      <c r="C52" s="401"/>
      <c r="D52" s="401"/>
      <c r="E52" s="401"/>
      <c r="F52" s="401"/>
      <c r="G52" s="401"/>
      <c r="H52" s="401"/>
      <c r="I52" s="401"/>
      <c r="J52" s="401"/>
      <c r="K52" s="207"/>
      <c r="L52" s="168"/>
      <c r="M52" s="168"/>
    </row>
    <row r="53" spans="1:13" ht="30" customHeight="1" x14ac:dyDescent="0.2">
      <c r="A53" s="169" t="s">
        <v>569</v>
      </c>
      <c r="B53" s="170" t="s">
        <v>594</v>
      </c>
      <c r="C53" s="171" t="s">
        <v>595</v>
      </c>
      <c r="D53" s="169" t="s">
        <v>596</v>
      </c>
      <c r="E53" s="170" t="s">
        <v>570</v>
      </c>
      <c r="F53" s="170" t="s">
        <v>574</v>
      </c>
      <c r="G53" s="170" t="s">
        <v>575</v>
      </c>
      <c r="H53" s="171" t="s">
        <v>571</v>
      </c>
      <c r="I53" s="171" t="s">
        <v>572</v>
      </c>
      <c r="J53" s="171" t="s">
        <v>573</v>
      </c>
    </row>
    <row r="54" spans="1:13" x14ac:dyDescent="0.2">
      <c r="A54" s="175">
        <v>5</v>
      </c>
      <c r="B54" s="176">
        <v>3</v>
      </c>
      <c r="C54" s="177">
        <v>1</v>
      </c>
      <c r="D54" s="175">
        <v>1</v>
      </c>
      <c r="E54" s="176">
        <v>2</v>
      </c>
      <c r="F54" s="176">
        <v>0</v>
      </c>
      <c r="G54" s="176">
        <v>1</v>
      </c>
      <c r="H54" s="177">
        <v>1</v>
      </c>
      <c r="I54" s="177">
        <v>0</v>
      </c>
      <c r="J54" s="177">
        <v>0</v>
      </c>
    </row>
    <row r="55" spans="1:13" s="166" customFormat="1" x14ac:dyDescent="0.2">
      <c r="A55" s="205"/>
      <c r="B55" s="191"/>
      <c r="C55" s="393" t="s">
        <v>590</v>
      </c>
      <c r="D55" s="394"/>
      <c r="E55" s="394"/>
      <c r="F55" s="394"/>
      <c r="G55" s="394"/>
      <c r="H55" s="395"/>
      <c r="I55" s="192"/>
      <c r="J55" s="192"/>
      <c r="K55" s="194"/>
    </row>
    <row r="56" spans="1:13" s="166" customFormat="1" x14ac:dyDescent="0.2">
      <c r="A56" s="205"/>
      <c r="B56" s="193"/>
      <c r="C56" s="196" t="s">
        <v>585</v>
      </c>
      <c r="D56" s="196" t="s">
        <v>586</v>
      </c>
      <c r="E56" s="196" t="s">
        <v>587</v>
      </c>
      <c r="F56" s="196" t="s">
        <v>588</v>
      </c>
      <c r="G56" s="196" t="s">
        <v>589</v>
      </c>
      <c r="H56" s="196" t="s">
        <v>53</v>
      </c>
      <c r="I56" s="194"/>
      <c r="J56" s="194"/>
      <c r="K56" s="194"/>
    </row>
    <row r="57" spans="1:13" s="166" customFormat="1" x14ac:dyDescent="0.2">
      <c r="A57" s="205"/>
      <c r="B57" s="201"/>
      <c r="C57" s="197">
        <v>4</v>
      </c>
      <c r="D57" s="198">
        <v>0</v>
      </c>
      <c r="E57" s="200">
        <v>1</v>
      </c>
      <c r="F57" s="203">
        <v>0</v>
      </c>
      <c r="G57" s="204">
        <v>0</v>
      </c>
      <c r="H57" s="195">
        <v>0</v>
      </c>
      <c r="I57" s="202"/>
      <c r="J57" s="194"/>
      <c r="K57" s="194"/>
    </row>
    <row r="58" spans="1:13" s="166" customFormat="1" x14ac:dyDescent="0.2">
      <c r="A58" s="205"/>
      <c r="B58" s="193"/>
      <c r="C58" s="393" t="s">
        <v>591</v>
      </c>
      <c r="D58" s="394"/>
      <c r="E58" s="394"/>
      <c r="F58" s="394"/>
      <c r="G58" s="394"/>
      <c r="H58" s="395"/>
      <c r="I58" s="194"/>
      <c r="J58" s="194"/>
      <c r="K58" s="194"/>
    </row>
    <row r="59" spans="1:13" s="166" customFormat="1" x14ac:dyDescent="0.2">
      <c r="A59" s="205"/>
      <c r="B59" s="193"/>
      <c r="C59" s="196" t="s">
        <v>585</v>
      </c>
      <c r="D59" s="196" t="s">
        <v>586</v>
      </c>
      <c r="E59" s="196" t="s">
        <v>587</v>
      </c>
      <c r="F59" s="196" t="s">
        <v>588</v>
      </c>
      <c r="G59" s="196" t="s">
        <v>589</v>
      </c>
      <c r="H59" s="196" t="s">
        <v>53</v>
      </c>
      <c r="I59" s="194"/>
      <c r="J59" s="194"/>
      <c r="K59" s="194"/>
    </row>
    <row r="60" spans="1:13" s="166" customFormat="1" x14ac:dyDescent="0.2">
      <c r="A60" s="205"/>
      <c r="B60" s="201"/>
      <c r="C60" s="197">
        <v>1</v>
      </c>
      <c r="D60" s="198">
        <v>1</v>
      </c>
      <c r="E60" s="200">
        <v>2</v>
      </c>
      <c r="F60" s="203">
        <v>0</v>
      </c>
      <c r="G60" s="204">
        <v>1</v>
      </c>
      <c r="H60" s="195">
        <v>0</v>
      </c>
      <c r="I60" s="194"/>
      <c r="J60" s="194"/>
      <c r="K60" s="194"/>
    </row>
    <row r="61" spans="1:13" x14ac:dyDescent="0.2">
      <c r="A61" s="404"/>
      <c r="B61" s="404"/>
      <c r="C61" s="402"/>
      <c r="D61" s="402"/>
      <c r="E61" s="402"/>
      <c r="F61" s="402"/>
      <c r="G61" s="402"/>
      <c r="H61" s="404"/>
      <c r="I61" s="404"/>
      <c r="J61" s="404"/>
    </row>
    <row r="62" spans="1:13" ht="32.25" customHeight="1" x14ac:dyDescent="0.2">
      <c r="A62" s="406" t="s">
        <v>416</v>
      </c>
      <c r="B62" s="406"/>
      <c r="C62" s="406"/>
      <c r="D62" s="406"/>
      <c r="E62" s="406"/>
      <c r="F62" s="406"/>
      <c r="G62" s="406"/>
      <c r="H62" s="406"/>
      <c r="I62" s="406"/>
      <c r="J62" s="406"/>
    </row>
    <row r="63" spans="1:13" ht="30" customHeight="1" x14ac:dyDescent="0.2">
      <c r="A63" s="169" t="s">
        <v>569</v>
      </c>
      <c r="B63" s="170" t="s">
        <v>594</v>
      </c>
      <c r="C63" s="171" t="s">
        <v>595</v>
      </c>
      <c r="D63" s="169" t="s">
        <v>596</v>
      </c>
      <c r="E63" s="170" t="s">
        <v>570</v>
      </c>
      <c r="F63" s="170" t="s">
        <v>574</v>
      </c>
      <c r="G63" s="170" t="s">
        <v>575</v>
      </c>
      <c r="H63" s="171" t="s">
        <v>571</v>
      </c>
      <c r="I63" s="171" t="s">
        <v>572</v>
      </c>
      <c r="J63" s="171" t="s">
        <v>573</v>
      </c>
    </row>
    <row r="64" spans="1:13" x14ac:dyDescent="0.2">
      <c r="A64" s="175">
        <v>10</v>
      </c>
      <c r="B64" s="176">
        <v>5</v>
      </c>
      <c r="C64" s="177">
        <v>4</v>
      </c>
      <c r="D64" s="175">
        <v>1</v>
      </c>
      <c r="E64" s="176">
        <v>1</v>
      </c>
      <c r="F64" s="176">
        <v>3</v>
      </c>
      <c r="G64" s="176">
        <v>1</v>
      </c>
      <c r="H64" s="177">
        <v>0</v>
      </c>
      <c r="I64" s="177">
        <v>4</v>
      </c>
      <c r="J64" s="177">
        <v>0</v>
      </c>
    </row>
    <row r="65" spans="1:11" s="166" customFormat="1" x14ac:dyDescent="0.2">
      <c r="A65" s="205"/>
      <c r="B65" s="191"/>
      <c r="C65" s="393" t="s">
        <v>590</v>
      </c>
      <c r="D65" s="394"/>
      <c r="E65" s="394"/>
      <c r="F65" s="394"/>
      <c r="G65" s="394"/>
      <c r="H65" s="395"/>
      <c r="I65" s="192"/>
      <c r="J65" s="192"/>
      <c r="K65" s="194"/>
    </row>
    <row r="66" spans="1:11" s="166" customFormat="1" x14ac:dyDescent="0.2">
      <c r="A66" s="205"/>
      <c r="B66" s="193"/>
      <c r="C66" s="196" t="s">
        <v>585</v>
      </c>
      <c r="D66" s="196" t="s">
        <v>586</v>
      </c>
      <c r="E66" s="196" t="s">
        <v>587</v>
      </c>
      <c r="F66" s="196" t="s">
        <v>588</v>
      </c>
      <c r="G66" s="196" t="s">
        <v>589</v>
      </c>
      <c r="H66" s="196" t="s">
        <v>53</v>
      </c>
      <c r="I66" s="194"/>
      <c r="J66" s="194"/>
      <c r="K66" s="194"/>
    </row>
    <row r="67" spans="1:11" s="166" customFormat="1" x14ac:dyDescent="0.2">
      <c r="A67" s="205"/>
      <c r="B67" s="201"/>
      <c r="C67" s="197">
        <v>3</v>
      </c>
      <c r="D67" s="198">
        <v>2</v>
      </c>
      <c r="E67" s="200">
        <v>2</v>
      </c>
      <c r="F67" s="203">
        <v>0</v>
      </c>
      <c r="G67" s="204">
        <v>0</v>
      </c>
      <c r="H67" s="195">
        <v>3</v>
      </c>
      <c r="I67" s="202"/>
      <c r="J67" s="194"/>
      <c r="K67" s="194"/>
    </row>
    <row r="68" spans="1:11" s="166" customFormat="1" x14ac:dyDescent="0.2">
      <c r="A68" s="205"/>
      <c r="B68" s="193"/>
      <c r="C68" s="393" t="s">
        <v>591</v>
      </c>
      <c r="D68" s="394"/>
      <c r="E68" s="394"/>
      <c r="F68" s="394"/>
      <c r="G68" s="394"/>
      <c r="H68" s="395"/>
      <c r="I68" s="194"/>
      <c r="J68" s="194"/>
      <c r="K68" s="194"/>
    </row>
    <row r="69" spans="1:11" s="166" customFormat="1" x14ac:dyDescent="0.2">
      <c r="A69" s="205"/>
      <c r="B69" s="193"/>
      <c r="C69" s="196" t="s">
        <v>585</v>
      </c>
      <c r="D69" s="196" t="s">
        <v>586</v>
      </c>
      <c r="E69" s="196" t="s">
        <v>587</v>
      </c>
      <c r="F69" s="196" t="s">
        <v>588</v>
      </c>
      <c r="G69" s="196" t="s">
        <v>589</v>
      </c>
      <c r="H69" s="196" t="s">
        <v>53</v>
      </c>
      <c r="I69" s="194"/>
      <c r="J69" s="194"/>
      <c r="K69" s="194"/>
    </row>
    <row r="70" spans="1:11" s="166" customFormat="1" x14ac:dyDescent="0.2">
      <c r="A70" s="205"/>
      <c r="B70" s="201"/>
      <c r="C70" s="197">
        <v>0</v>
      </c>
      <c r="D70" s="198">
        <v>4</v>
      </c>
      <c r="E70" s="200">
        <v>1</v>
      </c>
      <c r="F70" s="203">
        <v>0</v>
      </c>
      <c r="G70" s="204">
        <v>2</v>
      </c>
      <c r="H70" s="195">
        <v>3</v>
      </c>
      <c r="I70" s="194"/>
      <c r="J70" s="194"/>
      <c r="K70" s="194"/>
    </row>
    <row r="71" spans="1:11" x14ac:dyDescent="0.2">
      <c r="A71" s="404"/>
      <c r="B71" s="404"/>
      <c r="C71" s="402"/>
      <c r="D71" s="402"/>
      <c r="E71" s="402"/>
      <c r="F71" s="402"/>
      <c r="G71" s="402"/>
      <c r="H71" s="404"/>
      <c r="I71" s="404"/>
      <c r="J71" s="404"/>
    </row>
    <row r="72" spans="1:11" ht="18" x14ac:dyDescent="0.2">
      <c r="A72" s="401" t="s">
        <v>451</v>
      </c>
      <c r="B72" s="401"/>
      <c r="C72" s="401"/>
      <c r="D72" s="401"/>
      <c r="E72" s="401"/>
      <c r="F72" s="401"/>
      <c r="G72" s="401"/>
      <c r="H72" s="401"/>
      <c r="I72" s="401"/>
      <c r="J72" s="401"/>
    </row>
    <row r="73" spans="1:11" ht="30" customHeight="1" x14ac:dyDescent="0.2">
      <c r="A73" s="169" t="s">
        <v>569</v>
      </c>
      <c r="B73" s="170" t="s">
        <v>594</v>
      </c>
      <c r="C73" s="171" t="s">
        <v>595</v>
      </c>
      <c r="D73" s="169" t="s">
        <v>596</v>
      </c>
      <c r="E73" s="170" t="s">
        <v>570</v>
      </c>
      <c r="F73" s="170" t="s">
        <v>574</v>
      </c>
      <c r="G73" s="170" t="s">
        <v>575</v>
      </c>
      <c r="H73" s="171" t="s">
        <v>571</v>
      </c>
      <c r="I73" s="171" t="s">
        <v>572</v>
      </c>
      <c r="J73" s="171" t="s">
        <v>573</v>
      </c>
    </row>
    <row r="74" spans="1:11" x14ac:dyDescent="0.2">
      <c r="A74" s="175">
        <v>5</v>
      </c>
      <c r="B74" s="176">
        <v>3</v>
      </c>
      <c r="C74" s="177">
        <v>2</v>
      </c>
      <c r="D74" s="175">
        <v>0</v>
      </c>
      <c r="E74" s="176">
        <v>2</v>
      </c>
      <c r="F74" s="176">
        <v>1</v>
      </c>
      <c r="G74" s="176">
        <v>0</v>
      </c>
      <c r="H74" s="177">
        <v>0</v>
      </c>
      <c r="I74" s="177">
        <v>1</v>
      </c>
      <c r="J74" s="177">
        <v>1</v>
      </c>
    </row>
    <row r="75" spans="1:11" s="166" customFormat="1" x14ac:dyDescent="0.2">
      <c r="A75" s="205"/>
      <c r="B75" s="191"/>
      <c r="C75" s="393" t="s">
        <v>590</v>
      </c>
      <c r="D75" s="394"/>
      <c r="E75" s="394"/>
      <c r="F75" s="394"/>
      <c r="G75" s="394"/>
      <c r="H75" s="395"/>
      <c r="I75" s="192"/>
      <c r="J75" s="192"/>
      <c r="K75" s="194"/>
    </row>
    <row r="76" spans="1:11" s="166" customFormat="1" x14ac:dyDescent="0.2">
      <c r="A76" s="205"/>
      <c r="B76" s="193"/>
      <c r="C76" s="196" t="s">
        <v>585</v>
      </c>
      <c r="D76" s="196" t="s">
        <v>586</v>
      </c>
      <c r="E76" s="196" t="s">
        <v>587</v>
      </c>
      <c r="F76" s="196" t="s">
        <v>588</v>
      </c>
      <c r="G76" s="196" t="s">
        <v>589</v>
      </c>
      <c r="H76" s="196" t="s">
        <v>53</v>
      </c>
      <c r="I76" s="194"/>
      <c r="J76" s="194"/>
      <c r="K76" s="194"/>
    </row>
    <row r="77" spans="1:11" s="166" customFormat="1" x14ac:dyDescent="0.2">
      <c r="A77" s="205"/>
      <c r="B77" s="201"/>
      <c r="C77" s="197">
        <v>0</v>
      </c>
      <c r="D77" s="198">
        <v>0</v>
      </c>
      <c r="E77" s="200">
        <v>0</v>
      </c>
      <c r="F77" s="203">
        <v>5</v>
      </c>
      <c r="G77" s="204">
        <v>0</v>
      </c>
      <c r="H77" s="195">
        <v>0</v>
      </c>
      <c r="I77" s="202"/>
      <c r="J77" s="194"/>
      <c r="K77" s="194"/>
    </row>
    <row r="78" spans="1:11" s="166" customFormat="1" x14ac:dyDescent="0.2">
      <c r="A78" s="205"/>
      <c r="B78" s="193"/>
      <c r="C78" s="393" t="s">
        <v>591</v>
      </c>
      <c r="D78" s="394"/>
      <c r="E78" s="394"/>
      <c r="F78" s="394"/>
      <c r="G78" s="394"/>
      <c r="H78" s="395"/>
      <c r="I78" s="194"/>
      <c r="J78" s="194"/>
      <c r="K78" s="194"/>
    </row>
    <row r="79" spans="1:11" s="166" customFormat="1" x14ac:dyDescent="0.2">
      <c r="A79" s="205"/>
      <c r="B79" s="193"/>
      <c r="C79" s="196" t="s">
        <v>585</v>
      </c>
      <c r="D79" s="196" t="s">
        <v>586</v>
      </c>
      <c r="E79" s="196" t="s">
        <v>587</v>
      </c>
      <c r="F79" s="196" t="s">
        <v>588</v>
      </c>
      <c r="G79" s="196" t="s">
        <v>589</v>
      </c>
      <c r="H79" s="196" t="s">
        <v>53</v>
      </c>
      <c r="I79" s="194"/>
      <c r="J79" s="194"/>
      <c r="K79" s="194"/>
    </row>
    <row r="80" spans="1:11" s="166" customFormat="1" x14ac:dyDescent="0.2">
      <c r="A80" s="205"/>
      <c r="B80" s="201"/>
      <c r="C80" s="197">
        <v>0</v>
      </c>
      <c r="D80" s="198">
        <v>0</v>
      </c>
      <c r="E80" s="200">
        <v>0</v>
      </c>
      <c r="F80" s="203">
        <v>5</v>
      </c>
      <c r="G80" s="204">
        <v>0</v>
      </c>
      <c r="H80" s="195">
        <v>0</v>
      </c>
      <c r="I80" s="194"/>
      <c r="J80" s="194"/>
      <c r="K80" s="194"/>
    </row>
    <row r="81" spans="1:11" x14ac:dyDescent="0.2">
      <c r="A81" s="404"/>
      <c r="B81" s="404"/>
      <c r="C81" s="402"/>
      <c r="D81" s="402"/>
      <c r="E81" s="402"/>
      <c r="F81" s="402"/>
      <c r="G81" s="402"/>
      <c r="H81" s="404"/>
      <c r="I81" s="404"/>
      <c r="J81" s="404"/>
    </row>
    <row r="82" spans="1:11" ht="34.5" customHeight="1" x14ac:dyDescent="0.2">
      <c r="A82" s="401" t="s">
        <v>477</v>
      </c>
      <c r="B82" s="401"/>
      <c r="C82" s="401"/>
      <c r="D82" s="401"/>
      <c r="E82" s="401"/>
      <c r="F82" s="401"/>
      <c r="G82" s="401"/>
      <c r="H82" s="401"/>
      <c r="I82" s="401"/>
      <c r="J82" s="401"/>
    </row>
    <row r="83" spans="1:11" ht="30" customHeight="1" x14ac:dyDescent="0.2">
      <c r="A83" s="169" t="s">
        <v>569</v>
      </c>
      <c r="B83" s="170" t="s">
        <v>594</v>
      </c>
      <c r="C83" s="171" t="s">
        <v>595</v>
      </c>
      <c r="D83" s="169" t="s">
        <v>596</v>
      </c>
      <c r="E83" s="170" t="s">
        <v>570</v>
      </c>
      <c r="F83" s="170" t="s">
        <v>574</v>
      </c>
      <c r="G83" s="170" t="s">
        <v>575</v>
      </c>
      <c r="H83" s="171" t="s">
        <v>571</v>
      </c>
      <c r="I83" s="171" t="s">
        <v>572</v>
      </c>
      <c r="J83" s="171" t="s">
        <v>573</v>
      </c>
    </row>
    <row r="84" spans="1:11" x14ac:dyDescent="0.2">
      <c r="A84" s="175">
        <v>3</v>
      </c>
      <c r="B84" s="176">
        <v>1</v>
      </c>
      <c r="C84" s="177">
        <v>1</v>
      </c>
      <c r="D84" s="175">
        <v>1</v>
      </c>
      <c r="E84" s="176">
        <v>0</v>
      </c>
      <c r="F84" s="176">
        <v>0</v>
      </c>
      <c r="G84" s="176">
        <v>1</v>
      </c>
      <c r="H84" s="177">
        <v>1</v>
      </c>
      <c r="I84" s="177">
        <v>0</v>
      </c>
      <c r="J84" s="177">
        <v>0</v>
      </c>
    </row>
    <row r="85" spans="1:11" s="166" customFormat="1" x14ac:dyDescent="0.2">
      <c r="A85" s="205"/>
      <c r="B85" s="191"/>
      <c r="C85" s="393" t="s">
        <v>590</v>
      </c>
      <c r="D85" s="394"/>
      <c r="E85" s="394"/>
      <c r="F85" s="394"/>
      <c r="G85" s="394"/>
      <c r="H85" s="395"/>
      <c r="I85" s="192"/>
      <c r="J85" s="192"/>
      <c r="K85" s="194"/>
    </row>
    <row r="86" spans="1:11" s="166" customFormat="1" x14ac:dyDescent="0.2">
      <c r="A86" s="205"/>
      <c r="B86" s="193"/>
      <c r="C86" s="196" t="s">
        <v>585</v>
      </c>
      <c r="D86" s="196" t="s">
        <v>586</v>
      </c>
      <c r="E86" s="196" t="s">
        <v>587</v>
      </c>
      <c r="F86" s="196" t="s">
        <v>588</v>
      </c>
      <c r="G86" s="196" t="s">
        <v>589</v>
      </c>
      <c r="H86" s="196" t="s">
        <v>53</v>
      </c>
      <c r="I86" s="194"/>
      <c r="J86" s="194"/>
      <c r="K86" s="194"/>
    </row>
    <row r="87" spans="1:11" s="166" customFormat="1" x14ac:dyDescent="0.2">
      <c r="A87" s="205"/>
      <c r="B87" s="201"/>
      <c r="C87" s="197">
        <v>0</v>
      </c>
      <c r="D87" s="198">
        <v>0</v>
      </c>
      <c r="E87" s="200">
        <v>0</v>
      </c>
      <c r="F87" s="203">
        <v>0</v>
      </c>
      <c r="G87" s="204">
        <v>3</v>
      </c>
      <c r="H87" s="195">
        <v>0</v>
      </c>
      <c r="I87" s="202"/>
      <c r="J87" s="194"/>
      <c r="K87" s="194"/>
    </row>
    <row r="88" spans="1:11" s="166" customFormat="1" x14ac:dyDescent="0.2">
      <c r="A88" s="205"/>
      <c r="B88" s="193"/>
      <c r="C88" s="393" t="s">
        <v>591</v>
      </c>
      <c r="D88" s="394"/>
      <c r="E88" s="394"/>
      <c r="F88" s="394"/>
      <c r="G88" s="394"/>
      <c r="H88" s="395"/>
      <c r="I88" s="194"/>
      <c r="J88" s="194"/>
      <c r="K88" s="194"/>
    </row>
    <row r="89" spans="1:11" s="166" customFormat="1" x14ac:dyDescent="0.2">
      <c r="A89" s="205"/>
      <c r="B89" s="193"/>
      <c r="C89" s="196" t="s">
        <v>585</v>
      </c>
      <c r="D89" s="196" t="s">
        <v>586</v>
      </c>
      <c r="E89" s="196" t="s">
        <v>587</v>
      </c>
      <c r="F89" s="196" t="s">
        <v>588</v>
      </c>
      <c r="G89" s="196" t="s">
        <v>589</v>
      </c>
      <c r="H89" s="196" t="s">
        <v>53</v>
      </c>
      <c r="I89" s="194"/>
      <c r="J89" s="194"/>
      <c r="K89" s="194"/>
    </row>
    <row r="90" spans="1:11" s="166" customFormat="1" x14ac:dyDescent="0.2">
      <c r="A90" s="205"/>
      <c r="B90" s="201"/>
      <c r="C90" s="197">
        <v>0</v>
      </c>
      <c r="D90" s="198">
        <v>0</v>
      </c>
      <c r="E90" s="200">
        <v>0</v>
      </c>
      <c r="F90" s="203">
        <v>0</v>
      </c>
      <c r="G90" s="204">
        <v>3</v>
      </c>
      <c r="H90" s="195">
        <v>0</v>
      </c>
      <c r="I90" s="194"/>
      <c r="J90" s="194"/>
      <c r="K90" s="194"/>
    </row>
    <row r="91" spans="1:11" x14ac:dyDescent="0.2">
      <c r="A91" s="404"/>
      <c r="B91" s="404"/>
      <c r="C91" s="402"/>
      <c r="D91" s="402"/>
      <c r="E91" s="402"/>
      <c r="F91" s="402"/>
      <c r="G91" s="402"/>
      <c r="H91" s="404"/>
      <c r="I91" s="404"/>
      <c r="J91" s="404"/>
    </row>
    <row r="92" spans="1:11" ht="33.75" customHeight="1" x14ac:dyDescent="0.2">
      <c r="A92" s="401" t="s">
        <v>489</v>
      </c>
      <c r="B92" s="401"/>
      <c r="C92" s="401"/>
      <c r="D92" s="401"/>
      <c r="E92" s="401"/>
      <c r="F92" s="401"/>
      <c r="G92" s="401"/>
      <c r="H92" s="401"/>
      <c r="I92" s="401"/>
      <c r="J92" s="401"/>
    </row>
    <row r="93" spans="1:11" ht="30" customHeight="1" x14ac:dyDescent="0.2">
      <c r="A93" s="169" t="s">
        <v>569</v>
      </c>
      <c r="B93" s="170" t="s">
        <v>594</v>
      </c>
      <c r="C93" s="171" t="s">
        <v>595</v>
      </c>
      <c r="D93" s="169" t="s">
        <v>596</v>
      </c>
      <c r="E93" s="170" t="s">
        <v>570</v>
      </c>
      <c r="F93" s="170" t="s">
        <v>574</v>
      </c>
      <c r="G93" s="170" t="s">
        <v>575</v>
      </c>
      <c r="H93" s="171" t="s">
        <v>571</v>
      </c>
      <c r="I93" s="171" t="s">
        <v>572</v>
      </c>
      <c r="J93" s="171" t="s">
        <v>573</v>
      </c>
    </row>
    <row r="94" spans="1:11" x14ac:dyDescent="0.2">
      <c r="A94" s="175">
        <v>6</v>
      </c>
      <c r="B94" s="176">
        <v>2</v>
      </c>
      <c r="C94" s="177">
        <v>2</v>
      </c>
      <c r="D94" s="175">
        <v>2</v>
      </c>
      <c r="E94" s="176">
        <v>1</v>
      </c>
      <c r="F94" s="176">
        <v>1</v>
      </c>
      <c r="G94" s="176">
        <v>0</v>
      </c>
      <c r="H94" s="177">
        <v>0</v>
      </c>
      <c r="I94" s="177">
        <v>2</v>
      </c>
      <c r="J94" s="177">
        <v>0</v>
      </c>
    </row>
    <row r="95" spans="1:11" s="166" customFormat="1" x14ac:dyDescent="0.2">
      <c r="A95" s="205"/>
      <c r="B95" s="191"/>
      <c r="C95" s="393" t="s">
        <v>590</v>
      </c>
      <c r="D95" s="394"/>
      <c r="E95" s="394"/>
      <c r="F95" s="394"/>
      <c r="G95" s="394"/>
      <c r="H95" s="395"/>
      <c r="I95" s="192"/>
      <c r="J95" s="192"/>
      <c r="K95" s="194"/>
    </row>
    <row r="96" spans="1:11" s="166" customFormat="1" x14ac:dyDescent="0.2">
      <c r="A96" s="205"/>
      <c r="B96" s="193"/>
      <c r="C96" s="196" t="s">
        <v>585</v>
      </c>
      <c r="D96" s="196" t="s">
        <v>586</v>
      </c>
      <c r="E96" s="196" t="s">
        <v>587</v>
      </c>
      <c r="F96" s="196" t="s">
        <v>588</v>
      </c>
      <c r="G96" s="196" t="s">
        <v>589</v>
      </c>
      <c r="H96" s="196" t="s">
        <v>53</v>
      </c>
      <c r="I96" s="194"/>
      <c r="J96" s="194"/>
      <c r="K96" s="194"/>
    </row>
    <row r="97" spans="1:11" s="166" customFormat="1" x14ac:dyDescent="0.2">
      <c r="A97" s="205"/>
      <c r="B97" s="201"/>
      <c r="C97" s="197">
        <v>6</v>
      </c>
      <c r="D97" s="198">
        <v>0</v>
      </c>
      <c r="E97" s="200">
        <v>0</v>
      </c>
      <c r="F97" s="203">
        <v>0</v>
      </c>
      <c r="G97" s="204">
        <v>0</v>
      </c>
      <c r="H97" s="195">
        <v>0</v>
      </c>
      <c r="I97" s="202"/>
      <c r="J97" s="194"/>
      <c r="K97" s="194"/>
    </row>
    <row r="98" spans="1:11" s="166" customFormat="1" x14ac:dyDescent="0.2">
      <c r="A98" s="205"/>
      <c r="B98" s="193"/>
      <c r="C98" s="393" t="s">
        <v>591</v>
      </c>
      <c r="D98" s="394"/>
      <c r="E98" s="394"/>
      <c r="F98" s="394"/>
      <c r="G98" s="394"/>
      <c r="H98" s="395"/>
      <c r="I98" s="194"/>
      <c r="J98" s="194"/>
      <c r="K98" s="194"/>
    </row>
    <row r="99" spans="1:11" s="166" customFormat="1" x14ac:dyDescent="0.2">
      <c r="A99" s="205"/>
      <c r="B99" s="193"/>
      <c r="C99" s="196" t="s">
        <v>585</v>
      </c>
      <c r="D99" s="196" t="s">
        <v>586</v>
      </c>
      <c r="E99" s="196" t="s">
        <v>587</v>
      </c>
      <c r="F99" s="196" t="s">
        <v>588</v>
      </c>
      <c r="G99" s="196" t="s">
        <v>589</v>
      </c>
      <c r="H99" s="196" t="s">
        <v>53</v>
      </c>
      <c r="I99" s="194"/>
      <c r="J99" s="194"/>
      <c r="K99" s="194"/>
    </row>
    <row r="100" spans="1:11" s="166" customFormat="1" x14ac:dyDescent="0.2">
      <c r="A100" s="205"/>
      <c r="B100" s="201"/>
      <c r="C100" s="197">
        <v>0</v>
      </c>
      <c r="D100" s="198">
        <v>5</v>
      </c>
      <c r="E100" s="200">
        <v>0</v>
      </c>
      <c r="F100" s="203">
        <v>0</v>
      </c>
      <c r="G100" s="204">
        <v>1</v>
      </c>
      <c r="H100" s="195">
        <v>0</v>
      </c>
      <c r="I100" s="194"/>
      <c r="J100" s="194"/>
      <c r="K100" s="194"/>
    </row>
    <row r="101" spans="1:11" x14ac:dyDescent="0.2">
      <c r="A101" s="404"/>
      <c r="B101" s="404"/>
      <c r="C101" s="402"/>
      <c r="D101" s="402"/>
      <c r="E101" s="402"/>
      <c r="F101" s="402"/>
      <c r="G101" s="402"/>
      <c r="H101" s="404"/>
      <c r="I101" s="404"/>
      <c r="J101" s="404"/>
    </row>
    <row r="102" spans="1:11" ht="18" x14ac:dyDescent="0.2">
      <c r="A102" s="401" t="s">
        <v>506</v>
      </c>
      <c r="B102" s="401"/>
      <c r="C102" s="401"/>
      <c r="D102" s="401"/>
      <c r="E102" s="401"/>
      <c r="F102" s="401"/>
      <c r="G102" s="401"/>
      <c r="H102" s="401"/>
      <c r="I102" s="401"/>
      <c r="J102" s="401"/>
    </row>
    <row r="103" spans="1:11" ht="30" customHeight="1" x14ac:dyDescent="0.2">
      <c r="A103" s="169" t="s">
        <v>569</v>
      </c>
      <c r="B103" s="170" t="s">
        <v>594</v>
      </c>
      <c r="C103" s="171" t="s">
        <v>595</v>
      </c>
      <c r="D103" s="169" t="s">
        <v>596</v>
      </c>
      <c r="E103" s="170" t="s">
        <v>570</v>
      </c>
      <c r="F103" s="170" t="s">
        <v>574</v>
      </c>
      <c r="G103" s="170" t="s">
        <v>575</v>
      </c>
      <c r="H103" s="171" t="s">
        <v>571</v>
      </c>
      <c r="I103" s="171" t="s">
        <v>572</v>
      </c>
      <c r="J103" s="171" t="s">
        <v>573</v>
      </c>
    </row>
    <row r="104" spans="1:11" x14ac:dyDescent="0.2">
      <c r="A104" s="175">
        <v>3</v>
      </c>
      <c r="B104" s="176">
        <v>1</v>
      </c>
      <c r="C104" s="177">
        <v>2</v>
      </c>
      <c r="D104" s="175">
        <v>0</v>
      </c>
      <c r="E104" s="176">
        <v>1</v>
      </c>
      <c r="F104" s="176">
        <v>0</v>
      </c>
      <c r="G104" s="176">
        <v>0</v>
      </c>
      <c r="H104" s="177">
        <v>1</v>
      </c>
      <c r="I104" s="177">
        <v>1</v>
      </c>
      <c r="J104" s="177">
        <v>0</v>
      </c>
    </row>
    <row r="105" spans="1:11" s="166" customFormat="1" x14ac:dyDescent="0.2">
      <c r="A105" s="205"/>
      <c r="B105" s="191"/>
      <c r="C105" s="393" t="s">
        <v>590</v>
      </c>
      <c r="D105" s="394"/>
      <c r="E105" s="394"/>
      <c r="F105" s="394"/>
      <c r="G105" s="394"/>
      <c r="H105" s="395"/>
      <c r="I105" s="192"/>
      <c r="J105" s="192"/>
      <c r="K105" s="194"/>
    </row>
    <row r="106" spans="1:11" s="166" customFormat="1" x14ac:dyDescent="0.2">
      <c r="A106" s="205"/>
      <c r="B106" s="193"/>
      <c r="C106" s="196" t="s">
        <v>585</v>
      </c>
      <c r="D106" s="196" t="s">
        <v>586</v>
      </c>
      <c r="E106" s="196" t="s">
        <v>587</v>
      </c>
      <c r="F106" s="196" t="s">
        <v>588</v>
      </c>
      <c r="G106" s="196" t="s">
        <v>589</v>
      </c>
      <c r="H106" s="196" t="s">
        <v>53</v>
      </c>
      <c r="I106" s="194"/>
      <c r="J106" s="194"/>
      <c r="K106" s="194"/>
    </row>
    <row r="107" spans="1:11" s="166" customFormat="1" x14ac:dyDescent="0.2">
      <c r="A107" s="205"/>
      <c r="B107" s="201"/>
      <c r="C107" s="197">
        <v>0</v>
      </c>
      <c r="D107" s="198">
        <v>0</v>
      </c>
      <c r="E107" s="200">
        <v>3</v>
      </c>
      <c r="F107" s="203">
        <v>0</v>
      </c>
      <c r="G107" s="204">
        <v>0</v>
      </c>
      <c r="H107" s="195">
        <v>0</v>
      </c>
      <c r="I107" s="202"/>
      <c r="J107" s="194"/>
      <c r="K107" s="194"/>
    </row>
    <row r="108" spans="1:11" s="166" customFormat="1" x14ac:dyDescent="0.2">
      <c r="A108" s="205"/>
      <c r="B108" s="193"/>
      <c r="C108" s="393" t="s">
        <v>591</v>
      </c>
      <c r="D108" s="394"/>
      <c r="E108" s="394"/>
      <c r="F108" s="394"/>
      <c r="G108" s="394"/>
      <c r="H108" s="395"/>
      <c r="I108" s="194"/>
      <c r="J108" s="194"/>
      <c r="K108" s="194"/>
    </row>
    <row r="109" spans="1:11" s="166" customFormat="1" x14ac:dyDescent="0.2">
      <c r="A109" s="205"/>
      <c r="B109" s="193"/>
      <c r="C109" s="196" t="s">
        <v>585</v>
      </c>
      <c r="D109" s="196" t="s">
        <v>586</v>
      </c>
      <c r="E109" s="196" t="s">
        <v>587</v>
      </c>
      <c r="F109" s="196" t="s">
        <v>588</v>
      </c>
      <c r="G109" s="196" t="s">
        <v>589</v>
      </c>
      <c r="H109" s="196" t="s">
        <v>53</v>
      </c>
      <c r="I109" s="194"/>
      <c r="J109" s="194"/>
      <c r="K109" s="194"/>
    </row>
    <row r="110" spans="1:11" s="166" customFormat="1" x14ac:dyDescent="0.2">
      <c r="A110" s="205"/>
      <c r="B110" s="201"/>
      <c r="C110" s="197">
        <v>0</v>
      </c>
      <c r="D110" s="198">
        <v>3</v>
      </c>
      <c r="E110" s="200">
        <v>0</v>
      </c>
      <c r="F110" s="203">
        <v>0</v>
      </c>
      <c r="G110" s="204"/>
      <c r="H110" s="195">
        <v>0</v>
      </c>
      <c r="I110" s="194"/>
      <c r="J110" s="194"/>
      <c r="K110" s="194"/>
    </row>
    <row r="111" spans="1:11" x14ac:dyDescent="0.2">
      <c r="A111" s="404"/>
      <c r="B111" s="404"/>
      <c r="C111" s="402"/>
      <c r="D111" s="402"/>
      <c r="E111" s="402"/>
      <c r="F111" s="402"/>
      <c r="G111" s="402"/>
      <c r="H111" s="404"/>
      <c r="I111" s="404"/>
      <c r="J111" s="404"/>
    </row>
    <row r="112" spans="1:11" ht="18" x14ac:dyDescent="0.2">
      <c r="A112" s="401" t="s">
        <v>522</v>
      </c>
      <c r="B112" s="401"/>
      <c r="C112" s="401"/>
      <c r="D112" s="401"/>
      <c r="E112" s="401"/>
      <c r="F112" s="401"/>
      <c r="G112" s="401"/>
      <c r="H112" s="401"/>
      <c r="I112" s="401"/>
      <c r="J112" s="401"/>
    </row>
    <row r="113" spans="1:11" ht="30" customHeight="1" x14ac:dyDescent="0.2">
      <c r="A113" s="169" t="s">
        <v>569</v>
      </c>
      <c r="B113" s="170" t="s">
        <v>594</v>
      </c>
      <c r="C113" s="171" t="s">
        <v>595</v>
      </c>
      <c r="D113" s="169" t="s">
        <v>596</v>
      </c>
      <c r="E113" s="170" t="s">
        <v>570</v>
      </c>
      <c r="F113" s="170" t="s">
        <v>574</v>
      </c>
      <c r="G113" s="170" t="s">
        <v>575</v>
      </c>
      <c r="H113" s="171" t="s">
        <v>571</v>
      </c>
      <c r="I113" s="171" t="s">
        <v>572</v>
      </c>
      <c r="J113" s="171" t="s">
        <v>573</v>
      </c>
    </row>
    <row r="114" spans="1:11" x14ac:dyDescent="0.2">
      <c r="A114" s="175">
        <v>7</v>
      </c>
      <c r="B114" s="176">
        <v>4</v>
      </c>
      <c r="C114" s="177">
        <v>1</v>
      </c>
      <c r="D114" s="175">
        <v>2</v>
      </c>
      <c r="E114" s="176">
        <v>1</v>
      </c>
      <c r="F114" s="176">
        <v>0</v>
      </c>
      <c r="G114" s="176">
        <v>3</v>
      </c>
      <c r="H114" s="177">
        <v>0</v>
      </c>
      <c r="I114" s="177">
        <v>1</v>
      </c>
      <c r="J114" s="177">
        <v>0</v>
      </c>
    </row>
    <row r="115" spans="1:11" s="166" customFormat="1" x14ac:dyDescent="0.2">
      <c r="A115" s="205"/>
      <c r="B115" s="191"/>
      <c r="C115" s="393" t="s">
        <v>590</v>
      </c>
      <c r="D115" s="394"/>
      <c r="E115" s="394"/>
      <c r="F115" s="394"/>
      <c r="G115" s="394"/>
      <c r="H115" s="395"/>
      <c r="I115" s="192"/>
      <c r="J115" s="192"/>
      <c r="K115" s="194"/>
    </row>
    <row r="116" spans="1:11" s="166" customFormat="1" x14ac:dyDescent="0.2">
      <c r="A116" s="205"/>
      <c r="B116" s="193"/>
      <c r="C116" s="196" t="s">
        <v>585</v>
      </c>
      <c r="D116" s="196" t="s">
        <v>586</v>
      </c>
      <c r="E116" s="196" t="s">
        <v>587</v>
      </c>
      <c r="F116" s="196" t="s">
        <v>588</v>
      </c>
      <c r="G116" s="196" t="s">
        <v>589</v>
      </c>
      <c r="H116" s="196" t="s">
        <v>53</v>
      </c>
      <c r="I116" s="194"/>
      <c r="J116" s="194"/>
      <c r="K116" s="194"/>
    </row>
    <row r="117" spans="1:11" s="166" customFormat="1" x14ac:dyDescent="0.2">
      <c r="A117" s="205"/>
      <c r="B117" s="201"/>
      <c r="C117" s="197">
        <v>2</v>
      </c>
      <c r="D117" s="198">
        <v>0</v>
      </c>
      <c r="E117" s="200">
        <v>4</v>
      </c>
      <c r="F117" s="203">
        <v>0</v>
      </c>
      <c r="G117" s="204">
        <v>0</v>
      </c>
      <c r="H117" s="195">
        <v>1</v>
      </c>
      <c r="I117" s="202"/>
      <c r="J117" s="194"/>
      <c r="K117" s="194"/>
    </row>
    <row r="118" spans="1:11" s="166" customFormat="1" x14ac:dyDescent="0.2">
      <c r="A118" s="205"/>
      <c r="B118" s="193"/>
      <c r="C118" s="393" t="s">
        <v>591</v>
      </c>
      <c r="D118" s="394"/>
      <c r="E118" s="394"/>
      <c r="F118" s="394"/>
      <c r="G118" s="394"/>
      <c r="H118" s="395"/>
      <c r="I118" s="194"/>
      <c r="J118" s="194"/>
      <c r="K118" s="194"/>
    </row>
    <row r="119" spans="1:11" s="166" customFormat="1" x14ac:dyDescent="0.2">
      <c r="A119" s="205"/>
      <c r="B119" s="193"/>
      <c r="C119" s="196" t="s">
        <v>585</v>
      </c>
      <c r="D119" s="196" t="s">
        <v>586</v>
      </c>
      <c r="E119" s="196" t="s">
        <v>587</v>
      </c>
      <c r="F119" s="196" t="s">
        <v>588</v>
      </c>
      <c r="G119" s="196" t="s">
        <v>589</v>
      </c>
      <c r="H119" s="196" t="s">
        <v>53</v>
      </c>
      <c r="I119" s="194"/>
      <c r="J119" s="194"/>
      <c r="K119" s="194"/>
    </row>
    <row r="120" spans="1:11" s="166" customFormat="1" x14ac:dyDescent="0.2">
      <c r="A120" s="205"/>
      <c r="B120" s="201"/>
      <c r="C120" s="197">
        <v>0</v>
      </c>
      <c r="D120" s="198">
        <v>5</v>
      </c>
      <c r="E120" s="200">
        <v>0</v>
      </c>
      <c r="F120" s="203">
        <v>0</v>
      </c>
      <c r="G120" s="204">
        <v>1</v>
      </c>
      <c r="H120" s="195">
        <v>1</v>
      </c>
      <c r="I120" s="194"/>
      <c r="J120" s="194"/>
      <c r="K120" s="194"/>
    </row>
    <row r="121" spans="1:11" x14ac:dyDescent="0.2">
      <c r="A121" s="399"/>
      <c r="B121" s="399"/>
      <c r="C121" s="400"/>
      <c r="D121" s="400"/>
      <c r="E121" s="400"/>
      <c r="F121" s="400"/>
      <c r="G121" s="400"/>
      <c r="H121" s="399"/>
      <c r="I121" s="399"/>
      <c r="J121" s="399"/>
    </row>
    <row r="122" spans="1:11" ht="33" customHeight="1" x14ac:dyDescent="0.2">
      <c r="A122" s="401" t="s">
        <v>556</v>
      </c>
      <c r="B122" s="401"/>
      <c r="C122" s="401"/>
      <c r="D122" s="401"/>
      <c r="E122" s="401"/>
      <c r="F122" s="401"/>
      <c r="G122" s="401"/>
      <c r="H122" s="401"/>
      <c r="I122" s="401"/>
      <c r="J122" s="401"/>
    </row>
    <row r="123" spans="1:11" ht="30" customHeight="1" x14ac:dyDescent="0.2">
      <c r="A123" s="169" t="s">
        <v>569</v>
      </c>
      <c r="B123" s="170" t="s">
        <v>594</v>
      </c>
      <c r="C123" s="171" t="s">
        <v>595</v>
      </c>
      <c r="D123" s="169" t="s">
        <v>596</v>
      </c>
      <c r="E123" s="170" t="s">
        <v>570</v>
      </c>
      <c r="F123" s="170" t="s">
        <v>574</v>
      </c>
      <c r="G123" s="170" t="s">
        <v>575</v>
      </c>
      <c r="H123" s="171" t="s">
        <v>571</v>
      </c>
      <c r="I123" s="171" t="s">
        <v>572</v>
      </c>
      <c r="J123" s="171" t="s">
        <v>573</v>
      </c>
    </row>
    <row r="124" spans="1:11" x14ac:dyDescent="0.2">
      <c r="A124" s="175">
        <v>5</v>
      </c>
      <c r="B124" s="176">
        <v>2</v>
      </c>
      <c r="C124" s="177">
        <v>0</v>
      </c>
      <c r="D124" s="175">
        <v>3</v>
      </c>
      <c r="E124" s="176">
        <v>2</v>
      </c>
      <c r="F124" s="176">
        <v>0</v>
      </c>
      <c r="G124" s="176">
        <v>0</v>
      </c>
      <c r="H124" s="177">
        <v>0</v>
      </c>
      <c r="I124" s="177">
        <v>0</v>
      </c>
      <c r="J124" s="177">
        <v>0</v>
      </c>
    </row>
    <row r="125" spans="1:11" s="166" customFormat="1" x14ac:dyDescent="0.2">
      <c r="A125" s="205"/>
      <c r="B125" s="191"/>
      <c r="C125" s="393" t="s">
        <v>590</v>
      </c>
      <c r="D125" s="394"/>
      <c r="E125" s="394"/>
      <c r="F125" s="394"/>
      <c r="G125" s="394"/>
      <c r="H125" s="395"/>
      <c r="I125" s="192"/>
      <c r="J125" s="192"/>
      <c r="K125" s="194"/>
    </row>
    <row r="126" spans="1:11" s="166" customFormat="1" x14ac:dyDescent="0.2">
      <c r="A126" s="205"/>
      <c r="B126" s="193"/>
      <c r="C126" s="196" t="s">
        <v>585</v>
      </c>
      <c r="D126" s="196" t="s">
        <v>586</v>
      </c>
      <c r="E126" s="196" t="s">
        <v>587</v>
      </c>
      <c r="F126" s="196" t="s">
        <v>588</v>
      </c>
      <c r="G126" s="196" t="s">
        <v>589</v>
      </c>
      <c r="H126" s="196" t="s">
        <v>53</v>
      </c>
      <c r="I126" s="194"/>
      <c r="J126" s="194"/>
      <c r="K126" s="194"/>
    </row>
    <row r="127" spans="1:11" s="166" customFormat="1" x14ac:dyDescent="0.2">
      <c r="A127" s="205"/>
      <c r="B127" s="201"/>
      <c r="C127" s="197">
        <v>0</v>
      </c>
      <c r="D127" s="198">
        <v>0</v>
      </c>
      <c r="E127" s="200">
        <v>0</v>
      </c>
      <c r="F127" s="203">
        <v>0</v>
      </c>
      <c r="G127" s="204">
        <v>1</v>
      </c>
      <c r="H127" s="195">
        <v>4</v>
      </c>
      <c r="I127" s="202"/>
      <c r="J127" s="194"/>
      <c r="K127" s="194"/>
    </row>
    <row r="128" spans="1:11" s="166" customFormat="1" x14ac:dyDescent="0.2">
      <c r="A128" s="205"/>
      <c r="B128" s="193"/>
      <c r="C128" s="393" t="s">
        <v>591</v>
      </c>
      <c r="D128" s="394"/>
      <c r="E128" s="394"/>
      <c r="F128" s="394"/>
      <c r="G128" s="394"/>
      <c r="H128" s="395"/>
      <c r="I128" s="194"/>
      <c r="J128" s="194"/>
      <c r="K128" s="194"/>
    </row>
    <row r="129" spans="1:11" s="166" customFormat="1" x14ac:dyDescent="0.2">
      <c r="A129" s="205"/>
      <c r="B129" s="193"/>
      <c r="C129" s="196" t="s">
        <v>585</v>
      </c>
      <c r="D129" s="196" t="s">
        <v>586</v>
      </c>
      <c r="E129" s="196" t="s">
        <v>587</v>
      </c>
      <c r="F129" s="196" t="s">
        <v>588</v>
      </c>
      <c r="G129" s="196" t="s">
        <v>589</v>
      </c>
      <c r="H129" s="196" t="s">
        <v>53</v>
      </c>
      <c r="I129" s="194"/>
      <c r="J129" s="194"/>
      <c r="K129" s="194"/>
    </row>
    <row r="130" spans="1:11" s="166" customFormat="1" x14ac:dyDescent="0.2">
      <c r="A130" s="205"/>
      <c r="B130" s="201"/>
      <c r="C130" s="197">
        <v>0</v>
      </c>
      <c r="D130" s="198">
        <v>0</v>
      </c>
      <c r="E130" s="200">
        <v>0</v>
      </c>
      <c r="F130" s="203">
        <v>0</v>
      </c>
      <c r="G130" s="204">
        <v>1</v>
      </c>
      <c r="H130" s="195">
        <v>4</v>
      </c>
      <c r="I130" s="194"/>
      <c r="J130" s="194"/>
      <c r="K130" s="194"/>
    </row>
    <row r="131" spans="1:11" x14ac:dyDescent="0.2">
      <c r="A131" s="404"/>
      <c r="B131" s="404"/>
      <c r="C131" s="402"/>
      <c r="D131" s="402"/>
      <c r="E131" s="402"/>
      <c r="F131" s="402"/>
      <c r="G131" s="402"/>
      <c r="H131" s="404"/>
      <c r="I131" s="404"/>
      <c r="J131" s="404"/>
    </row>
    <row r="132" spans="1:11" ht="25.5" x14ac:dyDescent="0.35">
      <c r="A132" s="403" t="s">
        <v>576</v>
      </c>
      <c r="B132" s="403"/>
      <c r="C132" s="403"/>
      <c r="D132" s="403"/>
      <c r="E132" s="403"/>
      <c r="F132" s="403"/>
      <c r="G132" s="403"/>
      <c r="H132" s="403"/>
      <c r="I132" s="403"/>
      <c r="J132" s="403"/>
    </row>
    <row r="133" spans="1:11" x14ac:dyDescent="0.2">
      <c r="A133" s="402"/>
      <c r="B133" s="402"/>
      <c r="C133" s="402"/>
      <c r="D133" s="402"/>
      <c r="E133" s="402"/>
      <c r="F133" s="402"/>
      <c r="G133" s="402"/>
      <c r="H133" s="402"/>
      <c r="I133" s="402"/>
      <c r="J133" s="402"/>
    </row>
    <row r="134" spans="1:11" ht="37.5" customHeight="1" x14ac:dyDescent="0.2">
      <c r="A134" s="401" t="s">
        <v>577</v>
      </c>
      <c r="B134" s="401"/>
      <c r="C134" s="401"/>
      <c r="D134" s="401"/>
      <c r="E134" s="401"/>
      <c r="F134" s="401"/>
      <c r="G134" s="401"/>
      <c r="H134" s="401"/>
      <c r="I134" s="401"/>
      <c r="J134" s="401"/>
    </row>
    <row r="135" spans="1:11" ht="30" customHeight="1" x14ac:dyDescent="0.2">
      <c r="A135" s="169" t="s">
        <v>569</v>
      </c>
      <c r="B135" s="170" t="s">
        <v>594</v>
      </c>
      <c r="C135" s="171" t="s">
        <v>595</v>
      </c>
      <c r="D135" s="169" t="s">
        <v>596</v>
      </c>
      <c r="E135" s="170" t="s">
        <v>570</v>
      </c>
      <c r="F135" s="170" t="s">
        <v>574</v>
      </c>
      <c r="G135" s="170" t="s">
        <v>575</v>
      </c>
      <c r="H135" s="171" t="s">
        <v>571</v>
      </c>
      <c r="I135" s="171" t="s">
        <v>572</v>
      </c>
      <c r="J135" s="171" t="s">
        <v>573</v>
      </c>
    </row>
    <row r="136" spans="1:11" x14ac:dyDescent="0.2">
      <c r="A136" s="175">
        <f t="shared" ref="A136:J136" si="0">A4+A14+A24+A34+A44+A54+A64+A74+A84+A94+A104+A114+A124</f>
        <v>121</v>
      </c>
      <c r="B136" s="176">
        <f t="shared" si="0"/>
        <v>46</v>
      </c>
      <c r="C136" s="177">
        <f t="shared" si="0"/>
        <v>59</v>
      </c>
      <c r="D136" s="175">
        <f t="shared" si="0"/>
        <v>16</v>
      </c>
      <c r="E136" s="176">
        <f t="shared" si="0"/>
        <v>30</v>
      </c>
      <c r="F136" s="176">
        <f t="shared" si="0"/>
        <v>9</v>
      </c>
      <c r="G136" s="176">
        <f t="shared" si="0"/>
        <v>7</v>
      </c>
      <c r="H136" s="177">
        <f t="shared" si="0"/>
        <v>28</v>
      </c>
      <c r="I136" s="177">
        <f t="shared" si="0"/>
        <v>25</v>
      </c>
      <c r="J136" s="177">
        <f t="shared" si="0"/>
        <v>6</v>
      </c>
    </row>
    <row r="137" spans="1:11" s="179" customFormat="1" x14ac:dyDescent="0.2">
      <c r="A137" s="182">
        <f>B137+C137+D137</f>
        <v>1</v>
      </c>
      <c r="B137" s="182">
        <f>B136/A136</f>
        <v>0.38016528925619836</v>
      </c>
      <c r="C137" s="182">
        <f>C136/A136</f>
        <v>0.48760330578512395</v>
      </c>
      <c r="D137" s="182">
        <f>D136/A136</f>
        <v>0.13223140495867769</v>
      </c>
      <c r="E137" s="416"/>
      <c r="F137" s="416"/>
      <c r="G137" s="416"/>
      <c r="H137" s="416"/>
      <c r="I137" s="416"/>
      <c r="J137" s="416"/>
      <c r="K137" s="211"/>
    </row>
    <row r="138" spans="1:11" s="178" customFormat="1" x14ac:dyDescent="0.2">
      <c r="A138" s="183"/>
      <c r="B138" s="184">
        <f>E138+F138+G138</f>
        <v>1</v>
      </c>
      <c r="C138" s="396"/>
      <c r="D138" s="397"/>
      <c r="E138" s="180">
        <f>E136/B136</f>
        <v>0.65217391304347827</v>
      </c>
      <c r="F138" s="180">
        <f>F136/B136</f>
        <v>0.19565217391304349</v>
      </c>
      <c r="G138" s="180">
        <f>G136/B136</f>
        <v>0.15217391304347827</v>
      </c>
      <c r="H138" s="398"/>
      <c r="I138" s="398"/>
      <c r="J138" s="398"/>
      <c r="K138" s="212"/>
    </row>
    <row r="139" spans="1:11" s="178" customFormat="1" x14ac:dyDescent="0.2">
      <c r="A139" s="183"/>
      <c r="B139" s="183"/>
      <c r="C139" s="181">
        <f>H139+I139+J139</f>
        <v>1</v>
      </c>
      <c r="D139" s="398"/>
      <c r="E139" s="398"/>
      <c r="F139" s="398"/>
      <c r="G139" s="398"/>
      <c r="H139" s="190">
        <f>H136/C136</f>
        <v>0.47457627118644069</v>
      </c>
      <c r="I139" s="190">
        <f>I136/C136</f>
        <v>0.42372881355932202</v>
      </c>
      <c r="J139" s="190">
        <f>J136/C136</f>
        <v>0.10169491525423729</v>
      </c>
      <c r="K139" s="212"/>
    </row>
    <row r="140" spans="1:11" s="178" customFormat="1" x14ac:dyDescent="0.2">
      <c r="A140" s="183"/>
      <c r="B140" s="183"/>
      <c r="C140" s="185"/>
      <c r="D140" s="186"/>
      <c r="E140" s="186"/>
      <c r="F140" s="186"/>
      <c r="G140" s="186"/>
      <c r="H140" s="185"/>
      <c r="I140" s="185"/>
      <c r="J140" s="185"/>
      <c r="K140" s="212"/>
    </row>
    <row r="141" spans="1:11" s="178" customFormat="1" x14ac:dyDescent="0.2">
      <c r="A141" s="183"/>
      <c r="B141" s="183"/>
      <c r="C141" s="187"/>
      <c r="D141" s="188"/>
      <c r="E141" s="410" t="s">
        <v>580</v>
      </c>
      <c r="F141" s="410"/>
      <c r="G141" s="410"/>
      <c r="H141" s="410"/>
      <c r="I141" s="187"/>
      <c r="J141" s="187"/>
      <c r="K141" s="212"/>
    </row>
    <row r="142" spans="1:11" s="178" customFormat="1" x14ac:dyDescent="0.2">
      <c r="A142" s="183"/>
      <c r="B142" s="183"/>
      <c r="C142" s="187"/>
      <c r="D142" s="188"/>
      <c r="E142" s="188"/>
      <c r="F142" s="188"/>
      <c r="G142" s="188"/>
      <c r="H142" s="187"/>
      <c r="I142" s="187"/>
      <c r="J142" s="187"/>
      <c r="K142" s="212"/>
    </row>
    <row r="143" spans="1:11" s="178" customFormat="1" x14ac:dyDescent="0.2">
      <c r="A143" s="183"/>
      <c r="B143" s="183"/>
      <c r="C143" s="187"/>
      <c r="D143" s="188"/>
      <c r="E143" s="189"/>
      <c r="F143" s="410" t="s">
        <v>579</v>
      </c>
      <c r="G143" s="410"/>
      <c r="H143" s="410"/>
      <c r="I143" s="410"/>
      <c r="J143" s="187"/>
      <c r="K143" s="212"/>
    </row>
    <row r="144" spans="1:11" s="178" customFormat="1" x14ac:dyDescent="0.2">
      <c r="A144" s="183"/>
      <c r="B144" s="183"/>
      <c r="C144" s="187"/>
      <c r="D144" s="188"/>
      <c r="E144" s="188"/>
      <c r="F144" s="188"/>
      <c r="G144" s="410" t="s">
        <v>581</v>
      </c>
      <c r="H144" s="410"/>
      <c r="I144" s="410"/>
      <c r="J144" s="410"/>
      <c r="K144" s="212"/>
    </row>
    <row r="145" spans="1:11" s="178" customFormat="1" x14ac:dyDescent="0.2">
      <c r="A145" s="183"/>
      <c r="B145" s="183"/>
      <c r="C145" s="187"/>
      <c r="D145" s="188"/>
      <c r="E145" s="188"/>
      <c r="F145" s="188"/>
      <c r="G145" s="410"/>
      <c r="H145" s="410"/>
      <c r="I145" s="410"/>
      <c r="J145" s="410"/>
      <c r="K145" s="212"/>
    </row>
    <row r="146" spans="1:11" s="178" customFormat="1" x14ac:dyDescent="0.2">
      <c r="A146" s="183"/>
      <c r="B146" s="183"/>
      <c r="C146" s="187"/>
      <c r="D146" s="188"/>
      <c r="E146" s="188"/>
      <c r="F146" s="188"/>
      <c r="G146" s="188"/>
      <c r="H146" s="187"/>
      <c r="I146" s="187"/>
      <c r="J146" s="187"/>
      <c r="K146" s="212"/>
    </row>
    <row r="147" spans="1:11" s="178" customFormat="1" x14ac:dyDescent="0.2">
      <c r="A147" s="183"/>
      <c r="B147" s="183"/>
      <c r="C147" s="187"/>
      <c r="D147" s="188"/>
      <c r="E147" s="188"/>
      <c r="F147" s="188"/>
      <c r="G147" s="188"/>
      <c r="H147" s="187"/>
      <c r="I147" s="187"/>
      <c r="J147" s="187"/>
      <c r="K147" s="212"/>
    </row>
    <row r="148" spans="1:11" s="166" customFormat="1" x14ac:dyDescent="0.2">
      <c r="A148" s="389" t="s">
        <v>569</v>
      </c>
      <c r="B148" s="390"/>
      <c r="C148" s="405" t="s">
        <v>590</v>
      </c>
      <c r="D148" s="405"/>
      <c r="E148" s="405"/>
      <c r="F148" s="405"/>
      <c r="G148" s="405"/>
      <c r="H148" s="405"/>
      <c r="I148" s="192"/>
      <c r="J148" s="192"/>
      <c r="K148" s="194"/>
    </row>
    <row r="149" spans="1:11" s="166" customFormat="1" x14ac:dyDescent="0.2">
      <c r="A149" s="391"/>
      <c r="B149" s="392"/>
      <c r="C149" s="196" t="s">
        <v>585</v>
      </c>
      <c r="D149" s="196" t="s">
        <v>586</v>
      </c>
      <c r="E149" s="196" t="s">
        <v>587</v>
      </c>
      <c r="F149" s="196" t="s">
        <v>588</v>
      </c>
      <c r="G149" s="196" t="s">
        <v>589</v>
      </c>
      <c r="H149" s="196" t="s">
        <v>53</v>
      </c>
      <c r="I149" s="194"/>
      <c r="J149" s="194"/>
      <c r="K149" s="194"/>
    </row>
    <row r="150" spans="1:11" s="166" customFormat="1" x14ac:dyDescent="0.2">
      <c r="A150" s="216">
        <f>C150+D150+E150+F150+G150+H150</f>
        <v>121</v>
      </c>
      <c r="B150" s="217"/>
      <c r="C150" s="197">
        <f>C7+C17+C27+C37+C47+C57+C67+C77+C87+C97+C107+C117+C127</f>
        <v>77</v>
      </c>
      <c r="D150" s="198">
        <f t="shared" ref="D150:H150" si="1">D7+D17+D27+D37+D47+D57+D67+D77+D87+D97+D107+D117+D127</f>
        <v>12</v>
      </c>
      <c r="E150" s="200">
        <f t="shared" si="1"/>
        <v>13</v>
      </c>
      <c r="F150" s="203">
        <f t="shared" si="1"/>
        <v>5</v>
      </c>
      <c r="G150" s="204">
        <f t="shared" si="1"/>
        <v>4</v>
      </c>
      <c r="H150" s="195">
        <f t="shared" si="1"/>
        <v>10</v>
      </c>
      <c r="I150" s="202"/>
      <c r="J150" s="194"/>
      <c r="K150" s="194"/>
    </row>
    <row r="151" spans="1:11" s="213" customFormat="1" x14ac:dyDescent="0.2">
      <c r="A151" s="387">
        <f>C151+D151+E151+F151+G151+H151</f>
        <v>1</v>
      </c>
      <c r="B151" s="387"/>
      <c r="C151" s="215">
        <f>C150/A150</f>
        <v>0.63636363636363635</v>
      </c>
      <c r="D151" s="215">
        <f>D150/A150</f>
        <v>9.9173553719008267E-2</v>
      </c>
      <c r="E151" s="215">
        <f>E150/A150</f>
        <v>0.10743801652892562</v>
      </c>
      <c r="F151" s="215">
        <f>F150/A150</f>
        <v>4.1322314049586778E-2</v>
      </c>
      <c r="G151" s="215">
        <f>G150/A150</f>
        <v>3.3057851239669422E-2</v>
      </c>
      <c r="H151" s="215">
        <f>H150/A150</f>
        <v>8.2644628099173556E-2</v>
      </c>
      <c r="I151" s="194"/>
      <c r="J151" s="194"/>
      <c r="K151" s="194"/>
    </row>
    <row r="152" spans="1:11" s="213" customFormat="1" x14ac:dyDescent="0.2">
      <c r="A152" s="387">
        <f>C152+E152</f>
        <v>1</v>
      </c>
      <c r="B152" s="387"/>
      <c r="C152" s="388">
        <f>(C150+D150)/111</f>
        <v>0.80180180180180183</v>
      </c>
      <c r="D152" s="388"/>
      <c r="E152" s="386">
        <f>(E150+F150+G150)/111</f>
        <v>0.1981981981981982</v>
      </c>
      <c r="F152" s="386"/>
      <c r="G152" s="386"/>
      <c r="H152" s="218"/>
      <c r="I152" s="194"/>
      <c r="J152" s="194"/>
      <c r="K152" s="194"/>
    </row>
    <row r="153" spans="1:11" s="213" customFormat="1" x14ac:dyDescent="0.2">
      <c r="B153" s="193"/>
      <c r="C153" s="206"/>
      <c r="D153" s="206"/>
      <c r="E153" s="214"/>
      <c r="F153" s="206"/>
      <c r="G153" s="206"/>
      <c r="H153" s="206"/>
      <c r="I153" s="194"/>
      <c r="J153" s="194"/>
      <c r="K153" s="194"/>
    </row>
    <row r="154" spans="1:11" s="166" customFormat="1" x14ac:dyDescent="0.2">
      <c r="A154" s="389" t="s">
        <v>569</v>
      </c>
      <c r="B154" s="390"/>
      <c r="C154" s="393" t="s">
        <v>591</v>
      </c>
      <c r="D154" s="394"/>
      <c r="E154" s="394"/>
      <c r="F154" s="394"/>
      <c r="G154" s="394"/>
      <c r="H154" s="395"/>
      <c r="I154" s="194"/>
      <c r="J154" s="194"/>
      <c r="K154" s="194"/>
    </row>
    <row r="155" spans="1:11" s="166" customFormat="1" x14ac:dyDescent="0.2">
      <c r="A155" s="391"/>
      <c r="B155" s="392"/>
      <c r="C155" s="196" t="s">
        <v>585</v>
      </c>
      <c r="D155" s="196" t="s">
        <v>586</v>
      </c>
      <c r="E155" s="196" t="s">
        <v>587</v>
      </c>
      <c r="F155" s="196" t="s">
        <v>588</v>
      </c>
      <c r="G155" s="196" t="s">
        <v>589</v>
      </c>
      <c r="H155" s="196" t="s">
        <v>53</v>
      </c>
      <c r="I155" s="194"/>
      <c r="J155" s="194"/>
      <c r="K155" s="194"/>
    </row>
    <row r="156" spans="1:11" s="166" customFormat="1" x14ac:dyDescent="0.2">
      <c r="A156" s="216">
        <f>C156+D156+E156+F156+G156+H156</f>
        <v>121</v>
      </c>
      <c r="B156" s="217"/>
      <c r="C156" s="197">
        <f t="shared" ref="C156:H156" si="2">C10+C20+C30+C40+C50+C60+C70+C80+C90+C100+C110+C120+C130</f>
        <v>35</v>
      </c>
      <c r="D156" s="198">
        <f t="shared" si="2"/>
        <v>35</v>
      </c>
      <c r="E156" s="200">
        <f t="shared" si="2"/>
        <v>3</v>
      </c>
      <c r="F156" s="203">
        <f t="shared" si="2"/>
        <v>5</v>
      </c>
      <c r="G156" s="204">
        <f t="shared" si="2"/>
        <v>33</v>
      </c>
      <c r="H156" s="195">
        <f t="shared" si="2"/>
        <v>10</v>
      </c>
      <c r="I156" s="194"/>
      <c r="J156" s="194"/>
      <c r="K156" s="194"/>
    </row>
    <row r="157" spans="1:11" s="178" customFormat="1" x14ac:dyDescent="0.2">
      <c r="A157" s="387">
        <f>C157+D157+E157+F157+G157+H157</f>
        <v>1</v>
      </c>
      <c r="B157" s="387"/>
      <c r="C157" s="215">
        <f>C156/$A$156</f>
        <v>0.28925619834710742</v>
      </c>
      <c r="D157" s="215">
        <f t="shared" ref="D157:H157" si="3">D156/$A$156</f>
        <v>0.28925619834710742</v>
      </c>
      <c r="E157" s="215">
        <f t="shared" si="3"/>
        <v>2.4793388429752067E-2</v>
      </c>
      <c r="F157" s="215">
        <f t="shared" si="3"/>
        <v>4.1322314049586778E-2</v>
      </c>
      <c r="G157" s="215">
        <f t="shared" si="3"/>
        <v>0.27272727272727271</v>
      </c>
      <c r="H157" s="215">
        <f t="shared" si="3"/>
        <v>8.2644628099173556E-2</v>
      </c>
      <c r="I157" s="187"/>
      <c r="J157" s="187"/>
      <c r="K157" s="212"/>
    </row>
    <row r="158" spans="1:11" s="213" customFormat="1" x14ac:dyDescent="0.2">
      <c r="A158" s="387">
        <f>C158+E158</f>
        <v>1</v>
      </c>
      <c r="B158" s="387"/>
      <c r="C158" s="388">
        <f>(C156+D156)/111</f>
        <v>0.63063063063063063</v>
      </c>
      <c r="D158" s="388"/>
      <c r="E158" s="386">
        <f>(E156+F156+G156)/111</f>
        <v>0.36936936936936937</v>
      </c>
      <c r="F158" s="386"/>
      <c r="G158" s="386"/>
      <c r="H158" s="218"/>
      <c r="I158" s="194"/>
      <c r="J158" s="194"/>
      <c r="K158" s="194"/>
    </row>
    <row r="159" spans="1:11" s="178" customFormat="1" x14ac:dyDescent="0.2">
      <c r="A159" s="183"/>
      <c r="B159" s="183"/>
      <c r="C159" s="187"/>
      <c r="D159" s="188"/>
      <c r="E159" s="188"/>
      <c r="F159" s="188"/>
      <c r="G159" s="188"/>
      <c r="H159" s="187"/>
      <c r="I159" s="187"/>
      <c r="J159" s="187"/>
      <c r="K159" s="212"/>
    </row>
    <row r="160" spans="1:11" s="178" customFormat="1" x14ac:dyDescent="0.2">
      <c r="A160" s="413"/>
      <c r="B160" s="413"/>
      <c r="C160" s="413"/>
      <c r="D160" s="413"/>
      <c r="E160" s="413"/>
      <c r="F160" s="413"/>
      <c r="G160" s="413"/>
      <c r="H160" s="413"/>
      <c r="I160" s="413"/>
      <c r="J160" s="413"/>
      <c r="K160" s="212"/>
    </row>
    <row r="161" spans="1:11" s="178" customFormat="1" ht="25.5" x14ac:dyDescent="0.35">
      <c r="A161" s="403" t="s">
        <v>582</v>
      </c>
      <c r="B161" s="403"/>
      <c r="C161" s="403"/>
      <c r="D161" s="403"/>
      <c r="E161" s="403"/>
      <c r="F161" s="403"/>
      <c r="G161" s="403"/>
      <c r="H161" s="403"/>
      <c r="I161" s="403"/>
      <c r="J161" s="403"/>
      <c r="K161" s="212"/>
    </row>
    <row r="162" spans="1:11" s="178" customFormat="1" x14ac:dyDescent="0.2">
      <c r="A162" s="414" t="s">
        <v>592</v>
      </c>
      <c r="B162" s="414"/>
      <c r="C162" s="414"/>
      <c r="D162" s="414"/>
      <c r="E162" s="414"/>
      <c r="F162" s="414"/>
      <c r="G162" s="414"/>
      <c r="H162" s="414"/>
      <c r="I162" s="414"/>
      <c r="J162" s="414"/>
      <c r="K162" s="212"/>
    </row>
    <row r="163" spans="1:11" s="178" customFormat="1" x14ac:dyDescent="0.2">
      <c r="A163" s="415" t="s">
        <v>593</v>
      </c>
      <c r="B163" s="415"/>
      <c r="C163" s="415"/>
      <c r="D163" s="415"/>
      <c r="E163" s="415"/>
      <c r="F163" s="415"/>
      <c r="G163" s="415"/>
      <c r="H163" s="415"/>
      <c r="I163" s="415"/>
      <c r="J163" s="415"/>
      <c r="K163" s="212"/>
    </row>
    <row r="164" spans="1:11" s="178" customFormat="1" x14ac:dyDescent="0.2">
      <c r="A164" s="411" t="s">
        <v>583</v>
      </c>
      <c r="B164" s="411"/>
      <c r="C164" s="411"/>
      <c r="D164" s="411"/>
      <c r="E164" s="411"/>
      <c r="F164" s="411"/>
      <c r="G164" s="411"/>
      <c r="H164" s="411"/>
      <c r="I164" s="411"/>
      <c r="J164" s="411"/>
      <c r="K164" s="212"/>
    </row>
    <row r="165" spans="1:11" x14ac:dyDescent="0.2">
      <c r="A165" s="409"/>
      <c r="B165" s="409"/>
      <c r="C165" s="409"/>
      <c r="D165" s="409"/>
      <c r="E165" s="409"/>
      <c r="F165" s="409"/>
      <c r="G165" s="409"/>
      <c r="H165" s="409"/>
      <c r="I165" s="409"/>
      <c r="J165" s="409"/>
    </row>
    <row r="166" spans="1:11" x14ac:dyDescent="0.2">
      <c r="A166" s="409"/>
      <c r="B166" s="409"/>
      <c r="C166" s="409"/>
      <c r="D166" s="409"/>
      <c r="E166" s="409"/>
      <c r="F166" s="409"/>
      <c r="G166" s="409"/>
      <c r="H166" s="409"/>
      <c r="I166" s="409"/>
      <c r="J166" s="409"/>
    </row>
    <row r="167" spans="1:11" x14ac:dyDescent="0.2">
      <c r="A167" s="409"/>
      <c r="B167" s="409"/>
      <c r="C167" s="409"/>
      <c r="D167" s="409"/>
      <c r="E167" s="409"/>
      <c r="F167" s="409"/>
      <c r="G167" s="409"/>
      <c r="H167" s="409"/>
      <c r="I167" s="409"/>
      <c r="J167" s="409"/>
    </row>
    <row r="168" spans="1:11" x14ac:dyDescent="0.2">
      <c r="A168" s="412"/>
      <c r="B168" s="412"/>
      <c r="C168" s="412"/>
      <c r="D168" s="412"/>
      <c r="E168" s="412"/>
      <c r="F168" s="412"/>
      <c r="G168" s="412"/>
      <c r="H168" s="412"/>
      <c r="I168" s="412"/>
      <c r="J168" s="412"/>
    </row>
    <row r="169" spans="1:11" s="178" customFormat="1" ht="25.5" x14ac:dyDescent="0.35">
      <c r="A169" s="384" t="s">
        <v>578</v>
      </c>
      <c r="B169" s="384"/>
      <c r="C169" s="384"/>
      <c r="D169" s="384"/>
      <c r="E169" s="384"/>
      <c r="F169" s="384"/>
      <c r="G169" s="384"/>
      <c r="H169" s="384"/>
      <c r="I169" s="384"/>
      <c r="J169" s="384"/>
      <c r="K169" s="212"/>
    </row>
    <row r="170" spans="1:11" s="178" customFormat="1" x14ac:dyDescent="0.2">
      <c r="A170" s="409" t="s">
        <v>584</v>
      </c>
      <c r="B170" s="409"/>
      <c r="C170" s="409"/>
      <c r="D170" s="409"/>
      <c r="E170" s="409"/>
      <c r="F170" s="409"/>
      <c r="G170" s="409"/>
      <c r="H170" s="409"/>
      <c r="I170" s="409"/>
      <c r="J170" s="409"/>
      <c r="K170" s="212"/>
    </row>
    <row r="171" spans="1:11" x14ac:dyDescent="0.2">
      <c r="A171" s="409"/>
      <c r="B171" s="409"/>
      <c r="C171" s="409"/>
      <c r="D171" s="409"/>
      <c r="E171" s="409"/>
      <c r="F171" s="409"/>
      <c r="G171" s="409"/>
      <c r="H171" s="409"/>
      <c r="I171" s="409"/>
      <c r="J171" s="409"/>
    </row>
    <row r="172" spans="1:11" x14ac:dyDescent="0.2">
      <c r="A172" s="409"/>
      <c r="B172" s="409"/>
      <c r="C172" s="409"/>
      <c r="D172" s="409"/>
      <c r="E172" s="409"/>
      <c r="F172" s="409"/>
      <c r="G172" s="409"/>
      <c r="H172" s="409"/>
      <c r="I172" s="409"/>
      <c r="J172" s="409"/>
    </row>
    <row r="173" spans="1:11" x14ac:dyDescent="0.2">
      <c r="A173" s="409"/>
      <c r="B173" s="409"/>
      <c r="C173" s="409"/>
      <c r="D173" s="409"/>
      <c r="E173" s="409"/>
      <c r="F173" s="409"/>
      <c r="G173" s="409"/>
      <c r="H173" s="409"/>
      <c r="I173" s="409"/>
      <c r="J173" s="409"/>
    </row>
    <row r="174" spans="1:11" x14ac:dyDescent="0.2">
      <c r="A174" s="409"/>
      <c r="B174" s="409"/>
      <c r="C174" s="409"/>
      <c r="D174" s="409"/>
      <c r="E174" s="409"/>
      <c r="F174" s="409"/>
      <c r="G174" s="409"/>
      <c r="H174" s="409"/>
      <c r="I174" s="409"/>
      <c r="J174" s="409"/>
    </row>
    <row r="177" spans="1:10" ht="25.5" x14ac:dyDescent="0.35">
      <c r="A177" s="384" t="s">
        <v>597</v>
      </c>
      <c r="B177" s="384"/>
      <c r="C177" s="384"/>
      <c r="D177" s="384"/>
      <c r="E177" s="384"/>
      <c r="F177" s="384"/>
      <c r="G177" s="384"/>
      <c r="H177" s="384"/>
      <c r="I177" s="384"/>
      <c r="J177" s="384"/>
    </row>
    <row r="178" spans="1:10" ht="25.5" x14ac:dyDescent="0.2">
      <c r="A178" s="381" t="s">
        <v>598</v>
      </c>
      <c r="B178" s="382"/>
      <c r="C178" s="382"/>
      <c r="D178" s="383"/>
      <c r="E178" s="381" t="s">
        <v>599</v>
      </c>
      <c r="F178" s="382"/>
      <c r="G178" s="382"/>
      <c r="H178" s="382"/>
      <c r="I178" s="382"/>
      <c r="J178" s="383"/>
    </row>
    <row r="179" spans="1:10" x14ac:dyDescent="0.2">
      <c r="A179" s="385" t="s">
        <v>600</v>
      </c>
      <c r="B179" s="385"/>
      <c r="C179" s="385"/>
      <c r="D179" s="385"/>
      <c r="E179" s="385"/>
      <c r="F179" s="385"/>
      <c r="G179" s="385"/>
      <c r="H179" s="385"/>
      <c r="I179" s="385"/>
      <c r="J179" s="385"/>
    </row>
    <row r="180" spans="1:10" x14ac:dyDescent="0.2">
      <c r="A180" s="378" t="s">
        <v>601</v>
      </c>
      <c r="B180" s="379"/>
      <c r="C180" s="379"/>
      <c r="D180" s="379"/>
      <c r="E180" s="379"/>
      <c r="F180" s="379"/>
      <c r="G180" s="379"/>
      <c r="H180" s="379"/>
      <c r="I180" s="379"/>
      <c r="J180" s="380"/>
    </row>
    <row r="181" spans="1:10" x14ac:dyDescent="0.2">
      <c r="A181" s="378" t="s">
        <v>601</v>
      </c>
      <c r="B181" s="379"/>
      <c r="C181" s="379"/>
      <c r="D181" s="379"/>
      <c r="E181" s="379"/>
      <c r="F181" s="379"/>
      <c r="G181" s="379"/>
      <c r="H181" s="379"/>
      <c r="I181" s="379"/>
      <c r="J181" s="380"/>
    </row>
    <row r="182" spans="1:10" x14ac:dyDescent="0.2">
      <c r="A182" s="378" t="s">
        <v>601</v>
      </c>
      <c r="B182" s="379"/>
      <c r="C182" s="379"/>
      <c r="D182" s="379"/>
      <c r="E182" s="379"/>
      <c r="F182" s="379"/>
      <c r="G182" s="379"/>
      <c r="H182" s="379"/>
      <c r="I182" s="379"/>
      <c r="J182" s="380"/>
    </row>
    <row r="183" spans="1:10" x14ac:dyDescent="0.2">
      <c r="A183" s="378" t="s">
        <v>601</v>
      </c>
      <c r="B183" s="379"/>
      <c r="C183" s="379"/>
      <c r="D183" s="379"/>
      <c r="E183" s="379"/>
      <c r="F183" s="379"/>
      <c r="G183" s="379"/>
      <c r="H183" s="379"/>
      <c r="I183" s="379"/>
      <c r="J183" s="380"/>
    </row>
    <row r="184" spans="1:10" x14ac:dyDescent="0.2">
      <c r="A184" s="378" t="s">
        <v>601</v>
      </c>
      <c r="B184" s="379"/>
      <c r="C184" s="379"/>
      <c r="D184" s="379"/>
      <c r="E184" s="379"/>
      <c r="F184" s="379"/>
      <c r="G184" s="379"/>
      <c r="H184" s="379"/>
      <c r="I184" s="379"/>
      <c r="J184" s="380"/>
    </row>
    <row r="186" spans="1:10" ht="25.5" x14ac:dyDescent="0.2">
      <c r="A186" s="381" t="s">
        <v>602</v>
      </c>
      <c r="B186" s="382"/>
      <c r="C186" s="382"/>
      <c r="D186" s="383"/>
      <c r="E186" s="381" t="s">
        <v>599</v>
      </c>
      <c r="F186" s="382"/>
      <c r="G186" s="382"/>
      <c r="H186" s="382"/>
      <c r="I186" s="382"/>
      <c r="J186" s="383"/>
    </row>
    <row r="187" spans="1:10" x14ac:dyDescent="0.2">
      <c r="A187" s="378" t="s">
        <v>601</v>
      </c>
      <c r="B187" s="379"/>
      <c r="C187" s="379"/>
      <c r="D187" s="379"/>
      <c r="E187" s="379"/>
      <c r="F187" s="379"/>
      <c r="G187" s="379"/>
      <c r="H187" s="379"/>
      <c r="I187" s="379"/>
      <c r="J187" s="380"/>
    </row>
    <row r="188" spans="1:10" x14ac:dyDescent="0.2">
      <c r="A188" s="378" t="s">
        <v>601</v>
      </c>
      <c r="B188" s="379"/>
      <c r="C188" s="379"/>
      <c r="D188" s="379"/>
      <c r="E188" s="379"/>
      <c r="F188" s="379"/>
      <c r="G188" s="379"/>
      <c r="H188" s="379"/>
      <c r="I188" s="379"/>
      <c r="J188" s="380"/>
    </row>
    <row r="189" spans="1:10" x14ac:dyDescent="0.2">
      <c r="A189" s="378" t="s">
        <v>601</v>
      </c>
      <c r="B189" s="379"/>
      <c r="C189" s="379"/>
      <c r="D189" s="379"/>
      <c r="E189" s="379"/>
      <c r="F189" s="379"/>
      <c r="G189" s="379"/>
      <c r="H189" s="379"/>
      <c r="I189" s="379"/>
      <c r="J189" s="380"/>
    </row>
    <row r="190" spans="1:10" x14ac:dyDescent="0.2">
      <c r="A190" s="378" t="s">
        <v>601</v>
      </c>
      <c r="B190" s="379"/>
      <c r="C190" s="379"/>
      <c r="D190" s="379"/>
      <c r="E190" s="379"/>
      <c r="F190" s="379"/>
      <c r="G190" s="379"/>
      <c r="H190" s="379"/>
      <c r="I190" s="379"/>
      <c r="J190" s="380"/>
    </row>
    <row r="191" spans="1:10" x14ac:dyDescent="0.2">
      <c r="A191" s="378" t="s">
        <v>601</v>
      </c>
      <c r="B191" s="379"/>
      <c r="C191" s="379"/>
      <c r="D191" s="379"/>
      <c r="E191" s="379"/>
      <c r="F191" s="379"/>
      <c r="G191" s="379"/>
      <c r="H191" s="379"/>
      <c r="I191" s="379"/>
      <c r="J191" s="380"/>
    </row>
    <row r="193" spans="1:10" ht="25.5" x14ac:dyDescent="0.2">
      <c r="A193" s="381" t="s">
        <v>603</v>
      </c>
      <c r="B193" s="382"/>
      <c r="C193" s="382"/>
      <c r="D193" s="383"/>
      <c r="E193" s="381" t="s">
        <v>599</v>
      </c>
      <c r="F193" s="382"/>
      <c r="G193" s="382"/>
      <c r="H193" s="382"/>
      <c r="I193" s="382"/>
      <c r="J193" s="383"/>
    </row>
    <row r="194" spans="1:10" x14ac:dyDescent="0.2">
      <c r="A194" s="378" t="s">
        <v>601</v>
      </c>
      <c r="B194" s="379"/>
      <c r="C194" s="379"/>
      <c r="D194" s="379"/>
      <c r="E194" s="379"/>
      <c r="F194" s="379"/>
      <c r="G194" s="379"/>
      <c r="H194" s="379"/>
      <c r="I194" s="379"/>
      <c r="J194" s="380"/>
    </row>
    <row r="195" spans="1:10" x14ac:dyDescent="0.2">
      <c r="A195" s="378" t="s">
        <v>601</v>
      </c>
      <c r="B195" s="379"/>
      <c r="C195" s="379"/>
      <c r="D195" s="379"/>
      <c r="E195" s="379"/>
      <c r="F195" s="379"/>
      <c r="G195" s="379"/>
      <c r="H195" s="379"/>
      <c r="I195" s="379"/>
      <c r="J195" s="380"/>
    </row>
    <row r="196" spans="1:10" x14ac:dyDescent="0.2">
      <c r="A196" s="378" t="s">
        <v>601</v>
      </c>
      <c r="B196" s="379"/>
      <c r="C196" s="379"/>
      <c r="D196" s="379"/>
      <c r="E196" s="379"/>
      <c r="F196" s="379"/>
      <c r="G196" s="379"/>
      <c r="H196" s="379"/>
      <c r="I196" s="379"/>
      <c r="J196" s="380"/>
    </row>
    <row r="197" spans="1:10" x14ac:dyDescent="0.2">
      <c r="A197" s="378" t="s">
        <v>601</v>
      </c>
      <c r="B197" s="379"/>
      <c r="C197" s="379"/>
      <c r="D197" s="379"/>
      <c r="E197" s="379"/>
      <c r="F197" s="379"/>
      <c r="G197" s="379"/>
      <c r="H197" s="379"/>
      <c r="I197" s="379"/>
      <c r="J197" s="380"/>
    </row>
    <row r="198" spans="1:10" x14ac:dyDescent="0.2">
      <c r="A198" s="378" t="s">
        <v>601</v>
      </c>
      <c r="B198" s="379"/>
      <c r="C198" s="379"/>
      <c r="D198" s="379"/>
      <c r="E198" s="379"/>
      <c r="F198" s="379"/>
      <c r="G198" s="379"/>
      <c r="H198" s="379"/>
      <c r="I198" s="379"/>
      <c r="J198" s="380"/>
    </row>
    <row r="200" spans="1:10" ht="25.5" x14ac:dyDescent="0.2">
      <c r="A200" s="381" t="s">
        <v>604</v>
      </c>
      <c r="B200" s="382"/>
      <c r="C200" s="382"/>
      <c r="D200" s="383"/>
      <c r="E200" s="381" t="s">
        <v>599</v>
      </c>
      <c r="F200" s="382"/>
      <c r="G200" s="382"/>
      <c r="H200" s="382"/>
      <c r="I200" s="382"/>
      <c r="J200" s="383"/>
    </row>
    <row r="201" spans="1:10" x14ac:dyDescent="0.2">
      <c r="A201" s="378" t="s">
        <v>601</v>
      </c>
      <c r="B201" s="379"/>
      <c r="C201" s="379"/>
      <c r="D201" s="379"/>
      <c r="E201" s="379"/>
      <c r="F201" s="379"/>
      <c r="G201" s="379"/>
      <c r="H201" s="379"/>
      <c r="I201" s="379"/>
      <c r="J201" s="380"/>
    </row>
    <row r="202" spans="1:10" x14ac:dyDescent="0.2">
      <c r="A202" s="378" t="s">
        <v>601</v>
      </c>
      <c r="B202" s="379"/>
      <c r="C202" s="379"/>
      <c r="D202" s="379"/>
      <c r="E202" s="379"/>
      <c r="F202" s="379"/>
      <c r="G202" s="379"/>
      <c r="H202" s="379"/>
      <c r="I202" s="379"/>
      <c r="J202" s="380"/>
    </row>
    <row r="203" spans="1:10" x14ac:dyDescent="0.2">
      <c r="A203" s="378" t="s">
        <v>601</v>
      </c>
      <c r="B203" s="379"/>
      <c r="C203" s="379"/>
      <c r="D203" s="379"/>
      <c r="E203" s="379"/>
      <c r="F203" s="379"/>
      <c r="G203" s="379"/>
      <c r="H203" s="379"/>
      <c r="I203" s="379"/>
      <c r="J203" s="380"/>
    </row>
    <row r="204" spans="1:10" x14ac:dyDescent="0.2">
      <c r="A204" s="378" t="s">
        <v>601</v>
      </c>
      <c r="B204" s="379"/>
      <c r="C204" s="379"/>
      <c r="D204" s="379"/>
      <c r="E204" s="379"/>
      <c r="F204" s="379"/>
      <c r="G204" s="379"/>
      <c r="H204" s="379"/>
      <c r="I204" s="379"/>
      <c r="J204" s="380"/>
    </row>
    <row r="205" spans="1:10" x14ac:dyDescent="0.2">
      <c r="A205" s="378" t="s">
        <v>601</v>
      </c>
      <c r="B205" s="379"/>
      <c r="C205" s="379"/>
      <c r="D205" s="379"/>
      <c r="E205" s="379"/>
      <c r="F205" s="379"/>
      <c r="G205" s="379"/>
      <c r="H205" s="379"/>
      <c r="I205" s="379"/>
      <c r="J205" s="380"/>
    </row>
    <row r="207" spans="1:10" ht="25.5" x14ac:dyDescent="0.2">
      <c r="A207" s="381" t="s">
        <v>605</v>
      </c>
      <c r="B207" s="382"/>
      <c r="C207" s="382"/>
      <c r="D207" s="383"/>
      <c r="E207" s="381" t="s">
        <v>599</v>
      </c>
      <c r="F207" s="382"/>
      <c r="G207" s="382"/>
      <c r="H207" s="382"/>
      <c r="I207" s="382"/>
      <c r="J207" s="383"/>
    </row>
    <row r="208" spans="1:10" x14ac:dyDescent="0.2">
      <c r="A208" s="378" t="s">
        <v>601</v>
      </c>
      <c r="B208" s="379"/>
      <c r="C208" s="379"/>
      <c r="D208" s="379"/>
      <c r="E208" s="379"/>
      <c r="F208" s="379"/>
      <c r="G208" s="379"/>
      <c r="H208" s="379"/>
      <c r="I208" s="379"/>
      <c r="J208" s="380"/>
    </row>
    <row r="209" spans="1:10" x14ac:dyDescent="0.2">
      <c r="A209" s="378" t="s">
        <v>601</v>
      </c>
      <c r="B209" s="379"/>
      <c r="C209" s="379"/>
      <c r="D209" s="379"/>
      <c r="E209" s="379"/>
      <c r="F209" s="379"/>
      <c r="G209" s="379"/>
      <c r="H209" s="379"/>
      <c r="I209" s="379"/>
      <c r="J209" s="380"/>
    </row>
    <row r="210" spans="1:10" x14ac:dyDescent="0.2">
      <c r="A210" s="378" t="s">
        <v>601</v>
      </c>
      <c r="B210" s="379"/>
      <c r="C210" s="379"/>
      <c r="D210" s="379"/>
      <c r="E210" s="379"/>
      <c r="F210" s="379"/>
      <c r="G210" s="379"/>
      <c r="H210" s="379"/>
      <c r="I210" s="379"/>
      <c r="J210" s="380"/>
    </row>
    <row r="211" spans="1:10" x14ac:dyDescent="0.2">
      <c r="A211" s="378" t="s">
        <v>601</v>
      </c>
      <c r="B211" s="379"/>
      <c r="C211" s="379"/>
      <c r="D211" s="379"/>
      <c r="E211" s="379"/>
      <c r="F211" s="379"/>
      <c r="G211" s="379"/>
      <c r="H211" s="379"/>
      <c r="I211" s="379"/>
      <c r="J211" s="380"/>
    </row>
    <row r="212" spans="1:10" x14ac:dyDescent="0.2">
      <c r="A212" s="378" t="s">
        <v>601</v>
      </c>
      <c r="B212" s="379"/>
      <c r="C212" s="379"/>
      <c r="D212" s="379"/>
      <c r="E212" s="379"/>
      <c r="F212" s="379"/>
      <c r="G212" s="379"/>
      <c r="H212" s="379"/>
      <c r="I212" s="379"/>
      <c r="J212" s="380"/>
    </row>
    <row r="214" spans="1:10" ht="25.5" x14ac:dyDescent="0.2">
      <c r="A214" s="381" t="s">
        <v>606</v>
      </c>
      <c r="B214" s="382"/>
      <c r="C214" s="382"/>
      <c r="D214" s="383"/>
      <c r="E214" s="381" t="s">
        <v>599</v>
      </c>
      <c r="F214" s="382"/>
      <c r="G214" s="382"/>
      <c r="H214" s="382"/>
      <c r="I214" s="382"/>
      <c r="J214" s="383"/>
    </row>
    <row r="215" spans="1:10" x14ac:dyDescent="0.2">
      <c r="A215" s="378" t="s">
        <v>601</v>
      </c>
      <c r="B215" s="379"/>
      <c r="C215" s="379"/>
      <c r="D215" s="379"/>
      <c r="E215" s="379"/>
      <c r="F215" s="379"/>
      <c r="G215" s="379"/>
      <c r="H215" s="379"/>
      <c r="I215" s="379"/>
      <c r="J215" s="380"/>
    </row>
    <row r="216" spans="1:10" x14ac:dyDescent="0.2">
      <c r="A216" s="378" t="s">
        <v>601</v>
      </c>
      <c r="B216" s="379"/>
      <c r="C216" s="379"/>
      <c r="D216" s="379"/>
      <c r="E216" s="379"/>
      <c r="F216" s="379"/>
      <c r="G216" s="379"/>
      <c r="H216" s="379"/>
      <c r="I216" s="379"/>
      <c r="J216" s="380"/>
    </row>
    <row r="217" spans="1:10" x14ac:dyDescent="0.2">
      <c r="A217" s="378" t="s">
        <v>601</v>
      </c>
      <c r="B217" s="379"/>
      <c r="C217" s="379"/>
      <c r="D217" s="379"/>
      <c r="E217" s="379"/>
      <c r="F217" s="379"/>
      <c r="G217" s="379"/>
      <c r="H217" s="379"/>
      <c r="I217" s="379"/>
      <c r="J217" s="380"/>
    </row>
    <row r="218" spans="1:10" x14ac:dyDescent="0.2">
      <c r="A218" s="378" t="s">
        <v>601</v>
      </c>
      <c r="B218" s="379"/>
      <c r="C218" s="379"/>
      <c r="D218" s="379"/>
      <c r="E218" s="379"/>
      <c r="F218" s="379"/>
      <c r="G218" s="379"/>
      <c r="H218" s="379"/>
      <c r="I218" s="379"/>
      <c r="J218" s="380"/>
    </row>
    <row r="219" spans="1:10" x14ac:dyDescent="0.2">
      <c r="A219" s="378" t="s">
        <v>601</v>
      </c>
      <c r="B219" s="379"/>
      <c r="C219" s="379"/>
      <c r="D219" s="379"/>
      <c r="E219" s="379"/>
      <c r="F219" s="379"/>
      <c r="G219" s="379"/>
      <c r="H219" s="379"/>
      <c r="I219" s="379"/>
      <c r="J219" s="380"/>
    </row>
  </sheetData>
  <mergeCells count="128">
    <mergeCell ref="A2:J2"/>
    <mergeCell ref="A12:J12"/>
    <mergeCell ref="A1:J1"/>
    <mergeCell ref="A11:J11"/>
    <mergeCell ref="A42:J42"/>
    <mergeCell ref="A41:J41"/>
    <mergeCell ref="C5:H5"/>
    <mergeCell ref="C15:H15"/>
    <mergeCell ref="A112:J112"/>
    <mergeCell ref="A61:J61"/>
    <mergeCell ref="A62:J62"/>
    <mergeCell ref="A71:J71"/>
    <mergeCell ref="A72:J72"/>
    <mergeCell ref="A81:J81"/>
    <mergeCell ref="A82:J82"/>
    <mergeCell ref="A91:J91"/>
    <mergeCell ref="A92:J92"/>
    <mergeCell ref="A101:J101"/>
    <mergeCell ref="A102:J102"/>
    <mergeCell ref="A111:J111"/>
    <mergeCell ref="C105:H105"/>
    <mergeCell ref="C75:H75"/>
    <mergeCell ref="C85:H85"/>
    <mergeCell ref="C95:H95"/>
    <mergeCell ref="C98:H98"/>
    <mergeCell ref="C108:H108"/>
    <mergeCell ref="C118:H118"/>
    <mergeCell ref="C55:H55"/>
    <mergeCell ref="C65:H65"/>
    <mergeCell ref="A170:J174"/>
    <mergeCell ref="E141:H141"/>
    <mergeCell ref="F143:I143"/>
    <mergeCell ref="G144:J145"/>
    <mergeCell ref="A161:J161"/>
    <mergeCell ref="A164:J167"/>
    <mergeCell ref="A168:J168"/>
    <mergeCell ref="A169:J169"/>
    <mergeCell ref="A160:J160"/>
    <mergeCell ref="C148:H148"/>
    <mergeCell ref="C154:H154"/>
    <mergeCell ref="A148:B149"/>
    <mergeCell ref="A151:B151"/>
    <mergeCell ref="A162:J162"/>
    <mergeCell ref="A163:J163"/>
    <mergeCell ref="C152:D152"/>
    <mergeCell ref="E137:G137"/>
    <mergeCell ref="H137:J137"/>
    <mergeCell ref="H138:J138"/>
    <mergeCell ref="C8:H8"/>
    <mergeCell ref="C18:H18"/>
    <mergeCell ref="C28:H28"/>
    <mergeCell ref="C38:H38"/>
    <mergeCell ref="C48:H48"/>
    <mergeCell ref="C58:H58"/>
    <mergeCell ref="C68:H68"/>
    <mergeCell ref="C78:H78"/>
    <mergeCell ref="C88:H88"/>
    <mergeCell ref="A51:J51"/>
    <mergeCell ref="A52:J52"/>
    <mergeCell ref="A21:J21"/>
    <mergeCell ref="A22:J22"/>
    <mergeCell ref="A31:J31"/>
    <mergeCell ref="A32:J32"/>
    <mergeCell ref="C25:H25"/>
    <mergeCell ref="C35:H35"/>
    <mergeCell ref="C45:H45"/>
    <mergeCell ref="E152:G152"/>
    <mergeCell ref="A152:B152"/>
    <mergeCell ref="A158:B158"/>
    <mergeCell ref="C158:D158"/>
    <mergeCell ref="E158:G158"/>
    <mergeCell ref="A154:B155"/>
    <mergeCell ref="A157:B157"/>
    <mergeCell ref="C115:H115"/>
    <mergeCell ref="C125:H125"/>
    <mergeCell ref="C138:D138"/>
    <mergeCell ref="D139:G139"/>
    <mergeCell ref="A121:J121"/>
    <mergeCell ref="A122:J122"/>
    <mergeCell ref="A133:J133"/>
    <mergeCell ref="A134:J134"/>
    <mergeCell ref="A132:J132"/>
    <mergeCell ref="A131:J131"/>
    <mergeCell ref="C128:H128"/>
    <mergeCell ref="A181:J181"/>
    <mergeCell ref="A182:J182"/>
    <mergeCell ref="A183:J183"/>
    <mergeCell ref="A184:J184"/>
    <mergeCell ref="A186:D186"/>
    <mergeCell ref="E186:J186"/>
    <mergeCell ref="A177:J177"/>
    <mergeCell ref="A178:D178"/>
    <mergeCell ref="E178:J178"/>
    <mergeCell ref="A179:J179"/>
    <mergeCell ref="A180:J180"/>
    <mergeCell ref="A193:D193"/>
    <mergeCell ref="E193:J193"/>
    <mergeCell ref="A194:J194"/>
    <mergeCell ref="A195:J195"/>
    <mergeCell ref="A196:J196"/>
    <mergeCell ref="A187:J187"/>
    <mergeCell ref="A188:J188"/>
    <mergeCell ref="A189:J189"/>
    <mergeCell ref="A190:J190"/>
    <mergeCell ref="A191:J191"/>
    <mergeCell ref="A202:J202"/>
    <mergeCell ref="A203:J203"/>
    <mergeCell ref="A204:J204"/>
    <mergeCell ref="A205:J205"/>
    <mergeCell ref="A207:D207"/>
    <mergeCell ref="E207:J207"/>
    <mergeCell ref="A197:J197"/>
    <mergeCell ref="A198:J198"/>
    <mergeCell ref="A200:D200"/>
    <mergeCell ref="E200:J200"/>
    <mergeCell ref="A201:J201"/>
    <mergeCell ref="A218:J218"/>
    <mergeCell ref="A219:J219"/>
    <mergeCell ref="A214:D214"/>
    <mergeCell ref="E214:J214"/>
    <mergeCell ref="A215:J215"/>
    <mergeCell ref="A216:J216"/>
    <mergeCell ref="A217:J217"/>
    <mergeCell ref="A208:J208"/>
    <mergeCell ref="A209:J209"/>
    <mergeCell ref="A210:J210"/>
    <mergeCell ref="A211:J211"/>
    <mergeCell ref="A212:J212"/>
  </mergeCells>
  <pageMargins left="0.51181102362204722" right="0" top="0.39370078740157483" bottom="0.59055118110236227" header="0.31496062992125984" footer="0.31496062992125984"/>
  <pageSetup paperSize="9" scale="80" orientation="landscape" r:id="rId1"/>
  <rowBreaks count="5" manualBreakCount="5">
    <brk id="31" max="9" man="1"/>
    <brk id="61" max="16383" man="1"/>
    <brk id="91" max="9" man="1"/>
    <brk id="120" max="9" man="1"/>
    <brk id="147" max="16383"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9:O18"/>
  <sheetViews>
    <sheetView topLeftCell="A7" workbookViewId="0">
      <selection activeCell="O11" sqref="O11"/>
    </sheetView>
  </sheetViews>
  <sheetFormatPr defaultColWidth="8.7421875" defaultRowHeight="15.95" customHeight="1" x14ac:dyDescent="0.2"/>
  <cols>
    <col min="1" max="1" width="8.7421875" style="1"/>
    <col min="2" max="4" width="0" style="1" hidden="1" customWidth="1"/>
    <col min="5" max="5" width="8.7421875" style="1"/>
    <col min="6" max="6" width="0" style="1" hidden="1" customWidth="1"/>
    <col min="7" max="16384" width="8.7421875" style="1"/>
  </cols>
  <sheetData>
    <row r="9" spans="1:15" ht="15.95" customHeight="1" x14ac:dyDescent="0.2">
      <c r="D9" s="1">
        <v>124.084</v>
      </c>
      <c r="H9" s="1">
        <v>11022</v>
      </c>
      <c r="I9" s="1">
        <v>114.57899999999999</v>
      </c>
      <c r="M9" s="1">
        <v>5921</v>
      </c>
      <c r="O9" s="1">
        <v>83980</v>
      </c>
    </row>
    <row r="10" spans="1:15" ht="15.95" customHeight="1" x14ac:dyDescent="0.2">
      <c r="D10" s="1">
        <v>117.46</v>
      </c>
      <c r="H10" s="1">
        <v>11768</v>
      </c>
      <c r="I10" s="1">
        <v>106.992</v>
      </c>
      <c r="M10" s="1">
        <v>7217</v>
      </c>
      <c r="O10" s="1">
        <v>77723</v>
      </c>
    </row>
    <row r="11" spans="1:15" ht="15.95" customHeight="1" x14ac:dyDescent="0.2">
      <c r="D11" s="1">
        <f>D9/D10-1</f>
        <v>5.6393665928826886E-2</v>
      </c>
      <c r="H11" s="234">
        <f>H9/H10-1</f>
        <v>-6.3392250169952424E-2</v>
      </c>
      <c r="I11" s="234">
        <f>I9/I10-1</f>
        <v>7.0911843876177549E-2</v>
      </c>
      <c r="M11" s="1">
        <f>M9/M10-1</f>
        <v>-0.17957600110849381</v>
      </c>
      <c r="O11" s="247">
        <f>O9/O10-1</f>
        <v>8.0503840561995776E-2</v>
      </c>
    </row>
    <row r="13" spans="1:15" ht="15.95" customHeight="1" thickBot="1" x14ac:dyDescent="0.25"/>
    <row r="14" spans="1:15" ht="68.099999999999994" customHeight="1" thickBot="1" x14ac:dyDescent="0.25">
      <c r="A14" s="235" t="s">
        <v>639</v>
      </c>
      <c r="B14" s="235" t="s">
        <v>640</v>
      </c>
      <c r="C14" s="235" t="s">
        <v>641</v>
      </c>
      <c r="D14" s="235" t="s">
        <v>642</v>
      </c>
      <c r="E14" s="235" t="s">
        <v>643</v>
      </c>
      <c r="F14" s="235" t="s">
        <v>644</v>
      </c>
      <c r="G14" s="235" t="s">
        <v>645</v>
      </c>
      <c r="H14" s="235" t="s">
        <v>646</v>
      </c>
    </row>
    <row r="15" spans="1:15" ht="21.6" customHeight="1" thickTop="1" thickBot="1" x14ac:dyDescent="0.25">
      <c r="A15" s="245">
        <v>2017</v>
      </c>
      <c r="B15" s="236">
        <v>727254</v>
      </c>
      <c r="C15" s="236">
        <v>3766</v>
      </c>
      <c r="D15" s="237">
        <v>565</v>
      </c>
      <c r="E15" s="238">
        <v>0.15</v>
      </c>
      <c r="F15" s="236">
        <v>114701</v>
      </c>
      <c r="G15" s="237">
        <v>594</v>
      </c>
      <c r="H15" s="238">
        <v>0.15770000000000001</v>
      </c>
    </row>
    <row r="16" spans="1:15" ht="21.6" customHeight="1" thickBot="1" x14ac:dyDescent="0.25">
      <c r="A16" s="246">
        <v>2018</v>
      </c>
      <c r="B16" s="239">
        <v>805348</v>
      </c>
      <c r="C16" s="239">
        <v>4007</v>
      </c>
      <c r="D16" s="240">
        <v>559</v>
      </c>
      <c r="E16" s="241">
        <v>0.13950000000000001</v>
      </c>
      <c r="F16" s="239">
        <v>116821</v>
      </c>
      <c r="G16" s="240">
        <v>581</v>
      </c>
      <c r="H16" s="241">
        <v>0.14510000000000001</v>
      </c>
    </row>
    <row r="17" spans="1:8" ht="21.6" customHeight="1" thickBot="1" x14ac:dyDescent="0.25">
      <c r="A17" s="246">
        <v>2019</v>
      </c>
      <c r="B17" s="242">
        <v>905659</v>
      </c>
      <c r="C17" s="242">
        <v>4310</v>
      </c>
      <c r="D17" s="243">
        <v>558</v>
      </c>
      <c r="E17" s="244">
        <v>0.1295</v>
      </c>
      <c r="F17" s="242">
        <v>122615</v>
      </c>
      <c r="G17" s="243">
        <v>583</v>
      </c>
      <c r="H17" s="244">
        <v>0.13539999999999999</v>
      </c>
    </row>
    <row r="18" spans="1:8" ht="21.6" customHeight="1" thickBot="1" x14ac:dyDescent="0.25">
      <c r="A18" s="246">
        <v>2020</v>
      </c>
      <c r="B18" s="239">
        <v>868000</v>
      </c>
      <c r="C18" s="239">
        <v>4098</v>
      </c>
      <c r="D18" s="240">
        <v>555</v>
      </c>
      <c r="E18" s="241">
        <v>0.13539999999999999</v>
      </c>
      <c r="F18" s="239">
        <v>125443</v>
      </c>
      <c r="G18" s="240">
        <v>574</v>
      </c>
      <c r="H18" s="241">
        <v>0.14430000000000001</v>
      </c>
    </row>
  </sheetData>
  <pageMargins left="0.511811024" right="0.511811024" top="0.78740157499999996" bottom="0.78740157499999996" header="0.31496062000000002" footer="0.31496062000000002"/>
  <pageSetup orientation="portrait" r:id="rId1"/>
</worksheet>
</file>

<file path=docProps/app.xml><?xml version="1.0" encoding="utf-8"?>
<Properties xmlns="http://schemas.openxmlformats.org/officeDocument/2006/extended-properties" xmlns:vt="http://schemas.openxmlformats.org/officeDocument/2006/docPropsVTypes">
  <Application>Excel Android</Application>
  <DocSecurity>0</DocSecurity>
  <ScaleCrop>false</ScaleCrop>
  <HeadingPairs>
    <vt:vector size="4" baseType="variant">
      <vt:variant>
        <vt:lpstr>Planilhas</vt:lpstr>
      </vt:variant>
      <vt:variant>
        <vt:i4>4</vt:i4>
      </vt:variant>
      <vt:variant>
        <vt:lpstr>Intervalos Nomeados</vt:lpstr>
      </vt:variant>
      <vt:variant>
        <vt:i4>2</vt:i4>
      </vt:variant>
    </vt:vector>
  </HeadingPairs>
  <TitlesOfParts>
    <vt:vector size="6" baseType="lpstr">
      <vt:lpstr>Planilha3</vt:lpstr>
      <vt:lpstr>Planilha1</vt:lpstr>
      <vt:lpstr>Painel</vt:lpstr>
      <vt:lpstr>Planilha2</vt:lpstr>
      <vt:lpstr>Painel!Area_de_impressao</vt:lpstr>
      <vt:lpstr>Painel!Titulos_de_impressao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Francisco Funcia</dc:creator>
  <cp:lastModifiedBy>Francisco Funcia</cp:lastModifiedBy>
  <cp:lastPrinted>2020-08-31T15:38:05Z</cp:lastPrinted>
  <dcterms:created xsi:type="dcterms:W3CDTF">2020-08-30T02:47:16Z</dcterms:created>
  <dcterms:modified xsi:type="dcterms:W3CDTF">2020-11-10T11:46:49Z</dcterms:modified>
</cp:coreProperties>
</file>