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Francisco Funcia\Dropbox\FUNCIA FR\Atividade_Profissional\cns\COFIN 2020\RAG 2019\ENVIAR COMISSÕES\enviar\"/>
    </mc:Choice>
  </mc:AlternateContent>
  <xr:revisionPtr revIDLastSave="0" documentId="8_{E0CB2FDC-203E-B646-AA8C-7A1A15CE67F9}" xr6:coauthVersionLast="45" xr6:coauthVersionMax="45" xr10:uidLastSave="{00000000-0000-0000-0000-000000000000}"/>
  <bookViews>
    <workbookView showSheetTabs="0" xWindow="760" yWindow="690" windowWidth="18440" windowHeight="10110" activeTab="1" xr2:uid="{00000000-000D-0000-FFFF-FFFF00000000}"/>
  </bookViews>
  <sheets>
    <sheet name="Planilha3" sheetId="4" r:id="rId1"/>
    <sheet name="Planilha1" sheetId="1" r:id="rId2"/>
    <sheet name="Painel" sheetId="2" r:id="rId3"/>
    <sheet name="Planilha2" sheetId="3" r:id="rId4"/>
  </sheets>
  <definedNames>
    <definedName name="_xlnm.Print_Area" localSheetId="2">Painel!$A$1:$J$174</definedName>
    <definedName name="_xlnm.Print_Titles" localSheetId="2">Painel!$1:$1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5" i="1" l="1"/>
  <c r="L295" i="1"/>
  <c r="K295" i="1"/>
  <c r="N292" i="1"/>
  <c r="L292" i="1"/>
  <c r="K292" i="1"/>
  <c r="N275" i="1"/>
  <c r="L275" i="1"/>
  <c r="K275" i="1"/>
  <c r="N249" i="1"/>
  <c r="L249" i="1"/>
  <c r="K249" i="1"/>
  <c r="N246" i="1"/>
  <c r="L246" i="1"/>
  <c r="K246" i="1"/>
  <c r="N234" i="1"/>
  <c r="L234" i="1"/>
  <c r="N202" i="1"/>
  <c r="L202" i="1"/>
  <c r="K202" i="1"/>
  <c r="N185" i="1"/>
  <c r="L185" i="1"/>
  <c r="K185" i="1"/>
  <c r="K170" i="1"/>
  <c r="L170" i="1"/>
  <c r="N143" i="1"/>
  <c r="L143" i="1"/>
  <c r="K143" i="1"/>
  <c r="N142" i="1"/>
  <c r="L142" i="1"/>
  <c r="K142" i="1"/>
  <c r="N141" i="1"/>
  <c r="L141" i="1"/>
  <c r="K141" i="1"/>
  <c r="N140" i="1"/>
  <c r="L140" i="1"/>
  <c r="K140" i="1"/>
  <c r="L137" i="1"/>
  <c r="L136" i="1"/>
  <c r="N113" i="1"/>
  <c r="K113" i="1"/>
  <c r="N31" i="1"/>
  <c r="L21" i="1"/>
  <c r="K21" i="1"/>
  <c r="L16" i="1"/>
  <c r="K16" i="1"/>
  <c r="L15" i="1"/>
  <c r="K15" i="1"/>
  <c r="O11" i="3"/>
  <c r="M11" i="3"/>
  <c r="H11" i="3"/>
  <c r="I11" i="3"/>
  <c r="D11" i="3"/>
  <c r="H156" i="2"/>
  <c r="G156" i="2"/>
  <c r="F156" i="2"/>
  <c r="E156" i="2"/>
  <c r="D156" i="2"/>
  <c r="C156" i="2"/>
  <c r="H150" i="2"/>
  <c r="G150" i="2"/>
  <c r="F150" i="2"/>
  <c r="E150" i="2"/>
  <c r="D150" i="2"/>
  <c r="C150" i="2"/>
  <c r="C152" i="2"/>
  <c r="E158" i="2"/>
  <c r="E152" i="2"/>
  <c r="A152" i="2"/>
  <c r="A150" i="2"/>
  <c r="G151" i="2"/>
  <c r="A156" i="2"/>
  <c r="G157" i="2"/>
  <c r="C158" i="2"/>
  <c r="A158" i="2"/>
  <c r="J136" i="2"/>
  <c r="I136" i="2"/>
  <c r="H136" i="2"/>
  <c r="G136" i="2"/>
  <c r="F136" i="2"/>
  <c r="E136" i="2"/>
  <c r="D136" i="2"/>
  <c r="C136" i="2"/>
  <c r="B136" i="2"/>
  <c r="A136" i="2"/>
  <c r="E151" i="2"/>
  <c r="H157" i="2"/>
  <c r="C151" i="2"/>
  <c r="H151" i="2"/>
  <c r="F151" i="2"/>
  <c r="D151" i="2"/>
  <c r="F157" i="2"/>
  <c r="E157" i="2"/>
  <c r="C157" i="2"/>
  <c r="D157" i="2"/>
  <c r="B137" i="2"/>
  <c r="F138" i="2"/>
  <c r="D137" i="2"/>
  <c r="E138" i="2"/>
  <c r="C137" i="2"/>
  <c r="G138" i="2"/>
  <c r="H139" i="2"/>
  <c r="I139" i="2"/>
  <c r="J139" i="2"/>
  <c r="N263" i="1"/>
  <c r="K263" i="1"/>
  <c r="L263" i="1"/>
  <c r="N260" i="1"/>
  <c r="K260" i="1"/>
  <c r="L260" i="1"/>
  <c r="N250" i="1"/>
  <c r="K250" i="1"/>
  <c r="L250" i="1"/>
  <c r="N248" i="1"/>
  <c r="K248" i="1"/>
  <c r="L248" i="1"/>
  <c r="K247" i="1"/>
  <c r="L247" i="1"/>
  <c r="N245" i="1"/>
  <c r="K245" i="1"/>
  <c r="L245" i="1"/>
  <c r="N223" i="1"/>
  <c r="N222" i="1"/>
  <c r="K222" i="1"/>
  <c r="L222" i="1"/>
  <c r="N207" i="1"/>
  <c r="N206" i="1"/>
  <c r="K206" i="1"/>
  <c r="L206" i="1"/>
  <c r="N205" i="1"/>
  <c r="K205" i="1"/>
  <c r="L205" i="1"/>
  <c r="N204" i="1"/>
  <c r="K204" i="1"/>
  <c r="L204" i="1"/>
  <c r="K203" i="1"/>
  <c r="L203" i="1"/>
  <c r="N201" i="1"/>
  <c r="K201" i="1"/>
  <c r="L201" i="1"/>
  <c r="N200" i="1"/>
  <c r="K200" i="1"/>
  <c r="L200" i="1"/>
  <c r="N184" i="1"/>
  <c r="N173" i="1"/>
  <c r="K173" i="1"/>
  <c r="L173" i="1"/>
  <c r="N172" i="1"/>
  <c r="K172" i="1"/>
  <c r="L172" i="1"/>
  <c r="N171" i="1"/>
  <c r="K171" i="1"/>
  <c r="L171" i="1"/>
  <c r="N170" i="1"/>
  <c r="N144" i="1"/>
  <c r="K144" i="1"/>
  <c r="L144" i="1"/>
  <c r="N139" i="1"/>
  <c r="K139" i="1"/>
  <c r="L139" i="1"/>
  <c r="N133" i="1"/>
  <c r="K133" i="1"/>
  <c r="L133" i="1"/>
  <c r="N130" i="1"/>
  <c r="K130" i="1"/>
  <c r="L130" i="1"/>
  <c r="L113" i="1"/>
  <c r="N112" i="1"/>
  <c r="K112" i="1"/>
  <c r="L112" i="1"/>
  <c r="N111" i="1"/>
  <c r="K111" i="1"/>
  <c r="L111" i="1"/>
  <c r="K83" i="1"/>
  <c r="L83" i="1"/>
  <c r="N82" i="1"/>
  <c r="K82" i="1"/>
  <c r="L82" i="1"/>
  <c r="N81" i="1"/>
  <c r="K81" i="1"/>
  <c r="L81" i="1"/>
  <c r="N80" i="1"/>
  <c r="K80" i="1"/>
  <c r="L80" i="1"/>
  <c r="N79" i="1"/>
  <c r="K79" i="1"/>
  <c r="L79" i="1"/>
  <c r="N78" i="1"/>
  <c r="K78" i="1"/>
  <c r="L78" i="1"/>
  <c r="N77" i="1"/>
  <c r="K77" i="1"/>
  <c r="L77" i="1"/>
  <c r="N76" i="1"/>
  <c r="K76" i="1"/>
  <c r="L76" i="1"/>
  <c r="N75" i="1"/>
  <c r="K75" i="1"/>
  <c r="L75" i="1"/>
  <c r="N74" i="1"/>
  <c r="K74" i="1"/>
  <c r="L74" i="1"/>
  <c r="N73" i="1"/>
  <c r="K73" i="1"/>
  <c r="L73" i="1"/>
  <c r="N72" i="1"/>
  <c r="K72" i="1"/>
  <c r="L72" i="1"/>
  <c r="N71" i="1"/>
  <c r="K71" i="1"/>
  <c r="L71" i="1"/>
  <c r="N70" i="1"/>
  <c r="K70" i="1"/>
  <c r="L70" i="1"/>
  <c r="N69" i="1"/>
  <c r="K69" i="1"/>
  <c r="L69" i="1"/>
  <c r="N68" i="1"/>
  <c r="K68" i="1"/>
  <c r="L68" i="1"/>
  <c r="N67" i="1"/>
  <c r="K67" i="1"/>
  <c r="L67" i="1"/>
  <c r="N66" i="1"/>
  <c r="K66" i="1"/>
  <c r="L66" i="1"/>
  <c r="N65" i="1"/>
  <c r="K65" i="1"/>
  <c r="L65" i="1"/>
  <c r="N64" i="1"/>
  <c r="K64" i="1"/>
  <c r="L64" i="1"/>
  <c r="N63" i="1"/>
  <c r="K63" i="1"/>
  <c r="L63" i="1"/>
  <c r="N62" i="1"/>
  <c r="K62" i="1"/>
  <c r="L62" i="1"/>
  <c r="N61" i="1"/>
  <c r="K61" i="1"/>
  <c r="L61" i="1"/>
  <c r="N60" i="1"/>
  <c r="K60" i="1"/>
  <c r="L60" i="1"/>
  <c r="N59" i="1"/>
  <c r="K59" i="1"/>
  <c r="L59" i="1"/>
  <c r="K31" i="1"/>
  <c r="L31" i="1"/>
  <c r="N30" i="1"/>
  <c r="K30" i="1"/>
  <c r="L30" i="1"/>
  <c r="N29" i="1"/>
  <c r="K29" i="1"/>
  <c r="L29" i="1"/>
  <c r="N27" i="1"/>
  <c r="K27" i="1"/>
  <c r="L27" i="1"/>
  <c r="N26" i="1"/>
  <c r="K26" i="1"/>
  <c r="L26" i="1"/>
  <c r="N25" i="1"/>
  <c r="K25" i="1"/>
  <c r="L25" i="1"/>
  <c r="N24" i="1"/>
  <c r="L24" i="1"/>
  <c r="N23" i="1"/>
  <c r="L23" i="1"/>
  <c r="K23" i="1"/>
  <c r="N21" i="1"/>
  <c r="N20" i="1"/>
  <c r="K20" i="1"/>
  <c r="L20" i="1"/>
  <c r="L19" i="1"/>
  <c r="N18" i="1"/>
  <c r="K18" i="1"/>
  <c r="L18" i="1"/>
  <c r="N17" i="1"/>
  <c r="K17" i="1"/>
  <c r="L17" i="1"/>
  <c r="N16" i="1"/>
  <c r="N15" i="1"/>
  <c r="N14" i="1"/>
  <c r="K14" i="1"/>
  <c r="L14" i="1"/>
  <c r="N13" i="1"/>
  <c r="K13" i="1"/>
  <c r="L13" i="1"/>
  <c r="N12" i="1"/>
  <c r="K12" i="1"/>
  <c r="L12" i="1"/>
  <c r="A151" i="2"/>
  <c r="A157" i="2"/>
  <c r="A137" i="2"/>
  <c r="B138" i="2"/>
  <c r="C1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Usuário</author>
  </authors>
  <commentList>
    <comment ref="B3" authorId="0" shapeId="0" xr:uid="{00000000-0006-0000-0200-000001000000}">
      <text>
        <r>
          <rPr>
            <b/>
            <sz val="9"/>
            <color indexed="81"/>
            <rFont val="Tahoma"/>
            <family val="2"/>
          </rPr>
          <t>Usuário:</t>
        </r>
        <r>
          <rPr>
            <sz val="9"/>
            <color indexed="81"/>
            <rFont val="Tahoma"/>
            <family val="2"/>
          </rPr>
          <t xml:space="preserve">
VERDE</t>
        </r>
      </text>
    </comment>
    <comment ref="C3" authorId="0" shapeId="0" xr:uid="{00000000-0006-0000-0200-000002000000}">
      <text>
        <r>
          <rPr>
            <b/>
            <sz val="9"/>
            <color indexed="81"/>
            <rFont val="Tahoma"/>
            <family val="2"/>
          </rPr>
          <t>Usuário:</t>
        </r>
        <r>
          <rPr>
            <sz val="9"/>
            <color indexed="81"/>
            <rFont val="Tahoma"/>
            <family val="2"/>
          </rPr>
          <t xml:space="preserve">
TELHA</t>
        </r>
      </text>
    </comment>
    <comment ref="D3" authorId="0" shapeId="0" xr:uid="{00000000-0006-0000-0200-000003000000}">
      <text>
        <r>
          <rPr>
            <b/>
            <sz val="9"/>
            <color indexed="81"/>
            <rFont val="Tahoma"/>
            <family val="2"/>
          </rPr>
          <t>Usuário:</t>
        </r>
        <r>
          <rPr>
            <sz val="9"/>
            <color indexed="81"/>
            <rFont val="Tahoma"/>
            <family val="2"/>
          </rPr>
          <t xml:space="preserve">
LARANJA</t>
        </r>
      </text>
    </comment>
    <comment ref="E3" authorId="0" shapeId="0" xr:uid="{00000000-0006-0000-0200-000004000000}">
      <text>
        <r>
          <rPr>
            <b/>
            <sz val="9"/>
            <color indexed="81"/>
            <rFont val="Tahoma"/>
            <family val="2"/>
          </rPr>
          <t>Usuário:</t>
        </r>
        <r>
          <rPr>
            <sz val="9"/>
            <color indexed="81"/>
            <rFont val="Tahoma"/>
            <family val="2"/>
          </rPr>
          <t xml:space="preserve">
VERDE COM VERDE</t>
        </r>
      </text>
    </comment>
    <comment ref="F3" authorId="0" shapeId="0" xr:uid="{00000000-0006-0000-0200-000005000000}">
      <text>
        <r>
          <rPr>
            <b/>
            <sz val="9"/>
            <color indexed="81"/>
            <rFont val="Tahoma"/>
            <family val="2"/>
          </rPr>
          <t>Usuário:</t>
        </r>
        <r>
          <rPr>
            <sz val="9"/>
            <color indexed="81"/>
            <rFont val="Tahoma"/>
            <family val="2"/>
          </rPr>
          <t xml:space="preserve">
VERDE COM TELHA</t>
        </r>
      </text>
    </comment>
    <comment ref="G3" authorId="0" shapeId="0" xr:uid="{00000000-0006-0000-0200-000006000000}">
      <text>
        <r>
          <rPr>
            <b/>
            <sz val="9"/>
            <color indexed="81"/>
            <rFont val="Tahoma"/>
            <family val="2"/>
          </rPr>
          <t>Usuário:</t>
        </r>
        <r>
          <rPr>
            <sz val="9"/>
            <color indexed="81"/>
            <rFont val="Tahoma"/>
            <family val="2"/>
          </rPr>
          <t xml:space="preserve">
VERDE COM CINZA</t>
        </r>
      </text>
    </comment>
    <comment ref="H3" authorId="0" shapeId="0" xr:uid="{00000000-0006-0000-0200-000007000000}">
      <text>
        <r>
          <rPr>
            <b/>
            <sz val="9"/>
            <color indexed="81"/>
            <rFont val="Tahoma"/>
            <family val="2"/>
          </rPr>
          <t>Usuário:</t>
        </r>
        <r>
          <rPr>
            <sz val="9"/>
            <color indexed="81"/>
            <rFont val="Tahoma"/>
            <family val="2"/>
          </rPr>
          <t xml:space="preserve">
TELHA COM VERDE</t>
        </r>
      </text>
    </comment>
    <comment ref="I3" authorId="0" shapeId="0" xr:uid="{00000000-0006-0000-0200-000008000000}">
      <text>
        <r>
          <rPr>
            <b/>
            <sz val="9"/>
            <color indexed="81"/>
            <rFont val="Tahoma"/>
            <family val="2"/>
          </rPr>
          <t>Usuário:</t>
        </r>
        <r>
          <rPr>
            <sz val="9"/>
            <color indexed="81"/>
            <rFont val="Tahoma"/>
            <family val="2"/>
          </rPr>
          <t xml:space="preserve">
TELHA COM TELHA</t>
        </r>
      </text>
    </comment>
    <comment ref="J3" authorId="0" shapeId="0" xr:uid="{00000000-0006-0000-0200-000009000000}">
      <text>
        <r>
          <rPr>
            <b/>
            <sz val="9"/>
            <color indexed="81"/>
            <rFont val="Tahoma"/>
            <family val="2"/>
          </rPr>
          <t>Usuário:</t>
        </r>
        <r>
          <rPr>
            <sz val="9"/>
            <color indexed="81"/>
            <rFont val="Tahoma"/>
            <family val="2"/>
          </rPr>
          <t xml:space="preserve">
TELHA COM CINZA</t>
        </r>
      </text>
    </comment>
    <comment ref="B13" authorId="0" shapeId="0" xr:uid="{00000000-0006-0000-0200-00000A000000}">
      <text>
        <r>
          <rPr>
            <b/>
            <sz val="9"/>
            <color indexed="81"/>
            <rFont val="Tahoma"/>
            <family val="2"/>
          </rPr>
          <t>Usuário:</t>
        </r>
        <r>
          <rPr>
            <sz val="9"/>
            <color indexed="81"/>
            <rFont val="Tahoma"/>
            <family val="2"/>
          </rPr>
          <t xml:space="preserve">
VERDE</t>
        </r>
      </text>
    </comment>
    <comment ref="C13" authorId="0" shapeId="0" xr:uid="{00000000-0006-0000-0200-00000B000000}">
      <text>
        <r>
          <rPr>
            <b/>
            <sz val="9"/>
            <color indexed="81"/>
            <rFont val="Tahoma"/>
            <family val="2"/>
          </rPr>
          <t>Usuário:</t>
        </r>
        <r>
          <rPr>
            <sz val="9"/>
            <color indexed="81"/>
            <rFont val="Tahoma"/>
            <family val="2"/>
          </rPr>
          <t xml:space="preserve">
TELHA</t>
        </r>
      </text>
    </comment>
    <comment ref="D13" authorId="0" shapeId="0" xr:uid="{00000000-0006-0000-0200-00000C000000}">
      <text>
        <r>
          <rPr>
            <b/>
            <sz val="9"/>
            <color indexed="81"/>
            <rFont val="Tahoma"/>
            <family val="2"/>
          </rPr>
          <t>Usuário:</t>
        </r>
        <r>
          <rPr>
            <sz val="9"/>
            <color indexed="81"/>
            <rFont val="Tahoma"/>
            <family val="2"/>
          </rPr>
          <t xml:space="preserve">
LARANJA</t>
        </r>
      </text>
    </comment>
    <comment ref="E13" authorId="0" shapeId="0" xr:uid="{00000000-0006-0000-0200-00000D000000}">
      <text>
        <r>
          <rPr>
            <b/>
            <sz val="9"/>
            <color indexed="81"/>
            <rFont val="Tahoma"/>
            <family val="2"/>
          </rPr>
          <t>Usuário:</t>
        </r>
        <r>
          <rPr>
            <sz val="9"/>
            <color indexed="81"/>
            <rFont val="Tahoma"/>
            <family val="2"/>
          </rPr>
          <t xml:space="preserve">
VERDE COM VERDE</t>
        </r>
      </text>
    </comment>
    <comment ref="F13" authorId="0" shapeId="0" xr:uid="{00000000-0006-0000-0200-00000E000000}">
      <text>
        <r>
          <rPr>
            <b/>
            <sz val="9"/>
            <color indexed="81"/>
            <rFont val="Tahoma"/>
            <family val="2"/>
          </rPr>
          <t>Usuário:</t>
        </r>
        <r>
          <rPr>
            <sz val="9"/>
            <color indexed="81"/>
            <rFont val="Tahoma"/>
            <family val="2"/>
          </rPr>
          <t xml:space="preserve">
VERDE COM TELHA</t>
        </r>
      </text>
    </comment>
    <comment ref="G13" authorId="0" shapeId="0" xr:uid="{00000000-0006-0000-0200-00000F000000}">
      <text>
        <r>
          <rPr>
            <b/>
            <sz val="9"/>
            <color indexed="81"/>
            <rFont val="Tahoma"/>
            <family val="2"/>
          </rPr>
          <t>Usuário:</t>
        </r>
        <r>
          <rPr>
            <sz val="9"/>
            <color indexed="81"/>
            <rFont val="Tahoma"/>
            <family val="2"/>
          </rPr>
          <t xml:space="preserve">
VERDE COM CINZA</t>
        </r>
      </text>
    </comment>
    <comment ref="H13" authorId="0" shapeId="0" xr:uid="{00000000-0006-0000-0200-000010000000}">
      <text>
        <r>
          <rPr>
            <b/>
            <sz val="9"/>
            <color indexed="81"/>
            <rFont val="Tahoma"/>
            <family val="2"/>
          </rPr>
          <t>Usuário:</t>
        </r>
        <r>
          <rPr>
            <sz val="9"/>
            <color indexed="81"/>
            <rFont val="Tahoma"/>
            <family val="2"/>
          </rPr>
          <t xml:space="preserve">
TELHA COM VERDE</t>
        </r>
      </text>
    </comment>
    <comment ref="I13" authorId="0" shapeId="0" xr:uid="{00000000-0006-0000-0200-000011000000}">
      <text>
        <r>
          <rPr>
            <b/>
            <sz val="9"/>
            <color indexed="81"/>
            <rFont val="Tahoma"/>
            <family val="2"/>
          </rPr>
          <t>Usuário:</t>
        </r>
        <r>
          <rPr>
            <sz val="9"/>
            <color indexed="81"/>
            <rFont val="Tahoma"/>
            <family val="2"/>
          </rPr>
          <t xml:space="preserve">
TELHA COM TELHA</t>
        </r>
      </text>
    </comment>
    <comment ref="J13" authorId="0" shapeId="0" xr:uid="{00000000-0006-0000-0200-000012000000}">
      <text>
        <r>
          <rPr>
            <b/>
            <sz val="9"/>
            <color indexed="81"/>
            <rFont val="Tahoma"/>
            <family val="2"/>
          </rPr>
          <t>Usuário:</t>
        </r>
        <r>
          <rPr>
            <sz val="9"/>
            <color indexed="81"/>
            <rFont val="Tahoma"/>
            <family val="2"/>
          </rPr>
          <t xml:space="preserve">
TELHA COM CINZA</t>
        </r>
      </text>
    </comment>
    <comment ref="B23" authorId="0" shapeId="0" xr:uid="{00000000-0006-0000-0200-000013000000}">
      <text>
        <r>
          <rPr>
            <b/>
            <sz val="9"/>
            <color indexed="81"/>
            <rFont val="Tahoma"/>
            <family val="2"/>
          </rPr>
          <t>Usuário:</t>
        </r>
        <r>
          <rPr>
            <sz val="9"/>
            <color indexed="81"/>
            <rFont val="Tahoma"/>
            <family val="2"/>
          </rPr>
          <t xml:space="preserve">
VERDE</t>
        </r>
      </text>
    </comment>
    <comment ref="C23" authorId="0" shapeId="0" xr:uid="{00000000-0006-0000-0200-000014000000}">
      <text>
        <r>
          <rPr>
            <b/>
            <sz val="9"/>
            <color indexed="81"/>
            <rFont val="Tahoma"/>
            <family val="2"/>
          </rPr>
          <t>Usuário:</t>
        </r>
        <r>
          <rPr>
            <sz val="9"/>
            <color indexed="81"/>
            <rFont val="Tahoma"/>
            <family val="2"/>
          </rPr>
          <t xml:space="preserve">
TELHA</t>
        </r>
      </text>
    </comment>
    <comment ref="D23" authorId="0" shapeId="0" xr:uid="{00000000-0006-0000-0200-000015000000}">
      <text>
        <r>
          <rPr>
            <b/>
            <sz val="9"/>
            <color indexed="81"/>
            <rFont val="Tahoma"/>
            <family val="2"/>
          </rPr>
          <t>Usuário:</t>
        </r>
        <r>
          <rPr>
            <sz val="9"/>
            <color indexed="81"/>
            <rFont val="Tahoma"/>
            <family val="2"/>
          </rPr>
          <t xml:space="preserve">
LARANJA</t>
        </r>
      </text>
    </comment>
    <comment ref="E23" authorId="0" shapeId="0" xr:uid="{00000000-0006-0000-0200-000016000000}">
      <text>
        <r>
          <rPr>
            <b/>
            <sz val="9"/>
            <color indexed="81"/>
            <rFont val="Tahoma"/>
            <family val="2"/>
          </rPr>
          <t>Usuário:</t>
        </r>
        <r>
          <rPr>
            <sz val="9"/>
            <color indexed="81"/>
            <rFont val="Tahoma"/>
            <family val="2"/>
          </rPr>
          <t xml:space="preserve">
VERDE COM VERDE</t>
        </r>
      </text>
    </comment>
    <comment ref="F23" authorId="0" shapeId="0" xr:uid="{00000000-0006-0000-0200-000017000000}">
      <text>
        <r>
          <rPr>
            <b/>
            <sz val="9"/>
            <color indexed="81"/>
            <rFont val="Tahoma"/>
            <family val="2"/>
          </rPr>
          <t>Usuário:</t>
        </r>
        <r>
          <rPr>
            <sz val="9"/>
            <color indexed="81"/>
            <rFont val="Tahoma"/>
            <family val="2"/>
          </rPr>
          <t xml:space="preserve">
VERDE COM TELHA</t>
        </r>
      </text>
    </comment>
    <comment ref="G23" authorId="0" shapeId="0" xr:uid="{00000000-0006-0000-0200-000018000000}">
      <text>
        <r>
          <rPr>
            <b/>
            <sz val="9"/>
            <color indexed="81"/>
            <rFont val="Tahoma"/>
            <family val="2"/>
          </rPr>
          <t>Usuário:</t>
        </r>
        <r>
          <rPr>
            <sz val="9"/>
            <color indexed="81"/>
            <rFont val="Tahoma"/>
            <family val="2"/>
          </rPr>
          <t xml:space="preserve">
VERDE COM CINZA</t>
        </r>
      </text>
    </comment>
    <comment ref="H23" authorId="0" shapeId="0" xr:uid="{00000000-0006-0000-0200-000019000000}">
      <text>
        <r>
          <rPr>
            <b/>
            <sz val="9"/>
            <color indexed="81"/>
            <rFont val="Tahoma"/>
            <family val="2"/>
          </rPr>
          <t>Usuário:</t>
        </r>
        <r>
          <rPr>
            <sz val="9"/>
            <color indexed="81"/>
            <rFont val="Tahoma"/>
            <family val="2"/>
          </rPr>
          <t xml:space="preserve">
TELHA COM VERDE</t>
        </r>
      </text>
    </comment>
    <comment ref="I23" authorId="0" shapeId="0" xr:uid="{00000000-0006-0000-0200-00001A000000}">
      <text>
        <r>
          <rPr>
            <b/>
            <sz val="9"/>
            <color indexed="81"/>
            <rFont val="Tahoma"/>
            <family val="2"/>
          </rPr>
          <t>Usuário:</t>
        </r>
        <r>
          <rPr>
            <sz val="9"/>
            <color indexed="81"/>
            <rFont val="Tahoma"/>
            <family val="2"/>
          </rPr>
          <t xml:space="preserve">
TELHA COM TELHA</t>
        </r>
      </text>
    </comment>
    <comment ref="J23" authorId="0" shapeId="0" xr:uid="{00000000-0006-0000-0200-00001B000000}">
      <text>
        <r>
          <rPr>
            <b/>
            <sz val="9"/>
            <color indexed="81"/>
            <rFont val="Tahoma"/>
            <family val="2"/>
          </rPr>
          <t>Usuário:</t>
        </r>
        <r>
          <rPr>
            <sz val="9"/>
            <color indexed="81"/>
            <rFont val="Tahoma"/>
            <family val="2"/>
          </rPr>
          <t xml:space="preserve">
TELHA COM CINZA</t>
        </r>
      </text>
    </comment>
    <comment ref="B33" authorId="0" shapeId="0" xr:uid="{00000000-0006-0000-0200-00001C000000}">
      <text>
        <r>
          <rPr>
            <b/>
            <sz val="9"/>
            <color indexed="81"/>
            <rFont val="Tahoma"/>
            <family val="2"/>
          </rPr>
          <t>Usuário:</t>
        </r>
        <r>
          <rPr>
            <sz val="9"/>
            <color indexed="81"/>
            <rFont val="Tahoma"/>
            <family val="2"/>
          </rPr>
          <t xml:space="preserve">
VERDE</t>
        </r>
      </text>
    </comment>
    <comment ref="C33" authorId="0" shapeId="0" xr:uid="{00000000-0006-0000-0200-00001D000000}">
      <text>
        <r>
          <rPr>
            <b/>
            <sz val="9"/>
            <color indexed="81"/>
            <rFont val="Tahoma"/>
            <family val="2"/>
          </rPr>
          <t>Usuário:</t>
        </r>
        <r>
          <rPr>
            <sz val="9"/>
            <color indexed="81"/>
            <rFont val="Tahoma"/>
            <family val="2"/>
          </rPr>
          <t xml:space="preserve">
TELHA</t>
        </r>
      </text>
    </comment>
    <comment ref="D33" authorId="0" shapeId="0" xr:uid="{00000000-0006-0000-0200-00001E000000}">
      <text>
        <r>
          <rPr>
            <b/>
            <sz val="9"/>
            <color indexed="81"/>
            <rFont val="Tahoma"/>
            <family val="2"/>
          </rPr>
          <t>Usuário:</t>
        </r>
        <r>
          <rPr>
            <sz val="9"/>
            <color indexed="81"/>
            <rFont val="Tahoma"/>
            <family val="2"/>
          </rPr>
          <t xml:space="preserve">
LARANJA</t>
        </r>
      </text>
    </comment>
    <comment ref="E33" authorId="0" shapeId="0" xr:uid="{00000000-0006-0000-0200-00001F000000}">
      <text>
        <r>
          <rPr>
            <b/>
            <sz val="9"/>
            <color indexed="81"/>
            <rFont val="Tahoma"/>
            <family val="2"/>
          </rPr>
          <t>Usuário:</t>
        </r>
        <r>
          <rPr>
            <sz val="9"/>
            <color indexed="81"/>
            <rFont val="Tahoma"/>
            <family val="2"/>
          </rPr>
          <t xml:space="preserve">
VERDE COM VERDE</t>
        </r>
      </text>
    </comment>
    <comment ref="F33" authorId="0" shapeId="0" xr:uid="{00000000-0006-0000-0200-000020000000}">
      <text>
        <r>
          <rPr>
            <b/>
            <sz val="9"/>
            <color indexed="81"/>
            <rFont val="Tahoma"/>
            <family val="2"/>
          </rPr>
          <t>Usuário:</t>
        </r>
        <r>
          <rPr>
            <sz val="9"/>
            <color indexed="81"/>
            <rFont val="Tahoma"/>
            <family val="2"/>
          </rPr>
          <t xml:space="preserve">
VERDE COM TELHA</t>
        </r>
      </text>
    </comment>
    <comment ref="G33" authorId="0" shapeId="0" xr:uid="{00000000-0006-0000-0200-000021000000}">
      <text>
        <r>
          <rPr>
            <b/>
            <sz val="9"/>
            <color indexed="81"/>
            <rFont val="Tahoma"/>
            <family val="2"/>
          </rPr>
          <t>Usuário:</t>
        </r>
        <r>
          <rPr>
            <sz val="9"/>
            <color indexed="81"/>
            <rFont val="Tahoma"/>
            <family val="2"/>
          </rPr>
          <t xml:space="preserve">
VERDE COM CINZA</t>
        </r>
      </text>
    </comment>
    <comment ref="H33" authorId="0" shapeId="0" xr:uid="{00000000-0006-0000-0200-000022000000}">
      <text>
        <r>
          <rPr>
            <b/>
            <sz val="9"/>
            <color indexed="81"/>
            <rFont val="Tahoma"/>
            <family val="2"/>
          </rPr>
          <t>Usuário:</t>
        </r>
        <r>
          <rPr>
            <sz val="9"/>
            <color indexed="81"/>
            <rFont val="Tahoma"/>
            <family val="2"/>
          </rPr>
          <t xml:space="preserve">
TELHA COM VERDE</t>
        </r>
      </text>
    </comment>
    <comment ref="I33" authorId="0" shapeId="0" xr:uid="{00000000-0006-0000-0200-000023000000}">
      <text>
        <r>
          <rPr>
            <b/>
            <sz val="9"/>
            <color indexed="81"/>
            <rFont val="Tahoma"/>
            <family val="2"/>
          </rPr>
          <t>Usuário:</t>
        </r>
        <r>
          <rPr>
            <sz val="9"/>
            <color indexed="81"/>
            <rFont val="Tahoma"/>
            <family val="2"/>
          </rPr>
          <t xml:space="preserve">
TELHA COM TELHA</t>
        </r>
      </text>
    </comment>
    <comment ref="J33" authorId="0" shapeId="0" xr:uid="{00000000-0006-0000-0200-000024000000}">
      <text>
        <r>
          <rPr>
            <b/>
            <sz val="9"/>
            <color indexed="81"/>
            <rFont val="Tahoma"/>
            <family val="2"/>
          </rPr>
          <t>Usuário:</t>
        </r>
        <r>
          <rPr>
            <sz val="9"/>
            <color indexed="81"/>
            <rFont val="Tahoma"/>
            <family val="2"/>
          </rPr>
          <t xml:space="preserve">
TELHA COM CINZA</t>
        </r>
      </text>
    </comment>
    <comment ref="B43" authorId="0" shapeId="0" xr:uid="{00000000-0006-0000-0200-000025000000}">
      <text>
        <r>
          <rPr>
            <b/>
            <sz val="9"/>
            <color indexed="81"/>
            <rFont val="Tahoma"/>
            <family val="2"/>
          </rPr>
          <t>Usuário:</t>
        </r>
        <r>
          <rPr>
            <sz val="9"/>
            <color indexed="81"/>
            <rFont val="Tahoma"/>
            <family val="2"/>
          </rPr>
          <t xml:space="preserve">
VERDE</t>
        </r>
      </text>
    </comment>
    <comment ref="C43" authorId="0" shapeId="0" xr:uid="{00000000-0006-0000-0200-000026000000}">
      <text>
        <r>
          <rPr>
            <b/>
            <sz val="9"/>
            <color indexed="81"/>
            <rFont val="Tahoma"/>
            <family val="2"/>
          </rPr>
          <t>Usuário:</t>
        </r>
        <r>
          <rPr>
            <sz val="9"/>
            <color indexed="81"/>
            <rFont val="Tahoma"/>
            <family val="2"/>
          </rPr>
          <t xml:space="preserve">
TELHA</t>
        </r>
      </text>
    </comment>
    <comment ref="D43" authorId="0" shapeId="0" xr:uid="{00000000-0006-0000-0200-000027000000}">
      <text>
        <r>
          <rPr>
            <b/>
            <sz val="9"/>
            <color indexed="81"/>
            <rFont val="Tahoma"/>
            <family val="2"/>
          </rPr>
          <t>Usuário:</t>
        </r>
        <r>
          <rPr>
            <sz val="9"/>
            <color indexed="81"/>
            <rFont val="Tahoma"/>
            <family val="2"/>
          </rPr>
          <t xml:space="preserve">
LARANJA</t>
        </r>
      </text>
    </comment>
    <comment ref="E43" authorId="0" shapeId="0" xr:uid="{00000000-0006-0000-0200-000028000000}">
      <text>
        <r>
          <rPr>
            <b/>
            <sz val="9"/>
            <color indexed="81"/>
            <rFont val="Tahoma"/>
            <family val="2"/>
          </rPr>
          <t>Usuário:</t>
        </r>
        <r>
          <rPr>
            <sz val="9"/>
            <color indexed="81"/>
            <rFont val="Tahoma"/>
            <family val="2"/>
          </rPr>
          <t xml:space="preserve">
VERDE COM VERDE</t>
        </r>
      </text>
    </comment>
    <comment ref="F43" authorId="0" shapeId="0" xr:uid="{00000000-0006-0000-0200-000029000000}">
      <text>
        <r>
          <rPr>
            <b/>
            <sz val="9"/>
            <color indexed="81"/>
            <rFont val="Tahoma"/>
            <family val="2"/>
          </rPr>
          <t>Usuário:</t>
        </r>
        <r>
          <rPr>
            <sz val="9"/>
            <color indexed="81"/>
            <rFont val="Tahoma"/>
            <family val="2"/>
          </rPr>
          <t xml:space="preserve">
VERDE COM TELHA</t>
        </r>
      </text>
    </comment>
    <comment ref="G43" authorId="0" shapeId="0" xr:uid="{00000000-0006-0000-0200-00002A000000}">
      <text>
        <r>
          <rPr>
            <b/>
            <sz val="9"/>
            <color indexed="81"/>
            <rFont val="Tahoma"/>
            <family val="2"/>
          </rPr>
          <t>Usuário:</t>
        </r>
        <r>
          <rPr>
            <sz val="9"/>
            <color indexed="81"/>
            <rFont val="Tahoma"/>
            <family val="2"/>
          </rPr>
          <t xml:space="preserve">
VERDE COM CINZA</t>
        </r>
      </text>
    </comment>
    <comment ref="H43" authorId="0" shapeId="0" xr:uid="{00000000-0006-0000-0200-00002B000000}">
      <text>
        <r>
          <rPr>
            <b/>
            <sz val="9"/>
            <color indexed="81"/>
            <rFont val="Tahoma"/>
            <family val="2"/>
          </rPr>
          <t>Usuário:</t>
        </r>
        <r>
          <rPr>
            <sz val="9"/>
            <color indexed="81"/>
            <rFont val="Tahoma"/>
            <family val="2"/>
          </rPr>
          <t xml:space="preserve">
TELHA COM VERDE</t>
        </r>
      </text>
    </comment>
    <comment ref="I43" authorId="0" shapeId="0" xr:uid="{00000000-0006-0000-0200-00002C000000}">
      <text>
        <r>
          <rPr>
            <b/>
            <sz val="9"/>
            <color indexed="81"/>
            <rFont val="Tahoma"/>
            <family val="2"/>
          </rPr>
          <t>Usuário:</t>
        </r>
        <r>
          <rPr>
            <sz val="9"/>
            <color indexed="81"/>
            <rFont val="Tahoma"/>
            <family val="2"/>
          </rPr>
          <t xml:space="preserve">
TELHA COM TELHA</t>
        </r>
      </text>
    </comment>
    <comment ref="J43" authorId="0" shapeId="0" xr:uid="{00000000-0006-0000-0200-00002D000000}">
      <text>
        <r>
          <rPr>
            <b/>
            <sz val="9"/>
            <color indexed="81"/>
            <rFont val="Tahoma"/>
            <family val="2"/>
          </rPr>
          <t>Usuário:</t>
        </r>
        <r>
          <rPr>
            <sz val="9"/>
            <color indexed="81"/>
            <rFont val="Tahoma"/>
            <family val="2"/>
          </rPr>
          <t xml:space="preserve">
TELHA COM CINZA</t>
        </r>
      </text>
    </comment>
    <comment ref="B53" authorId="0" shapeId="0" xr:uid="{00000000-0006-0000-0200-00002E000000}">
      <text>
        <r>
          <rPr>
            <b/>
            <sz val="9"/>
            <color indexed="81"/>
            <rFont val="Tahoma"/>
            <family val="2"/>
          </rPr>
          <t>Usuário:</t>
        </r>
        <r>
          <rPr>
            <sz val="9"/>
            <color indexed="81"/>
            <rFont val="Tahoma"/>
            <family val="2"/>
          </rPr>
          <t xml:space="preserve">
VERDE</t>
        </r>
      </text>
    </comment>
    <comment ref="C53" authorId="0" shapeId="0" xr:uid="{00000000-0006-0000-0200-00002F000000}">
      <text>
        <r>
          <rPr>
            <b/>
            <sz val="9"/>
            <color indexed="81"/>
            <rFont val="Tahoma"/>
            <family val="2"/>
          </rPr>
          <t>Usuário:</t>
        </r>
        <r>
          <rPr>
            <sz val="9"/>
            <color indexed="81"/>
            <rFont val="Tahoma"/>
            <family val="2"/>
          </rPr>
          <t xml:space="preserve">
TELHA</t>
        </r>
      </text>
    </comment>
    <comment ref="D53" authorId="0" shapeId="0" xr:uid="{00000000-0006-0000-0200-000030000000}">
      <text>
        <r>
          <rPr>
            <b/>
            <sz val="9"/>
            <color indexed="81"/>
            <rFont val="Tahoma"/>
            <family val="2"/>
          </rPr>
          <t>Usuário:</t>
        </r>
        <r>
          <rPr>
            <sz val="9"/>
            <color indexed="81"/>
            <rFont val="Tahoma"/>
            <family val="2"/>
          </rPr>
          <t xml:space="preserve">
LARANJA</t>
        </r>
      </text>
    </comment>
    <comment ref="E53" authorId="0" shapeId="0" xr:uid="{00000000-0006-0000-0200-000031000000}">
      <text>
        <r>
          <rPr>
            <b/>
            <sz val="9"/>
            <color indexed="81"/>
            <rFont val="Tahoma"/>
            <family val="2"/>
          </rPr>
          <t>Usuário:</t>
        </r>
        <r>
          <rPr>
            <sz val="9"/>
            <color indexed="81"/>
            <rFont val="Tahoma"/>
            <family val="2"/>
          </rPr>
          <t xml:space="preserve">
VERDE COM VERDE</t>
        </r>
      </text>
    </comment>
    <comment ref="F53" authorId="0" shapeId="0" xr:uid="{00000000-0006-0000-0200-000032000000}">
      <text>
        <r>
          <rPr>
            <b/>
            <sz val="9"/>
            <color indexed="81"/>
            <rFont val="Tahoma"/>
            <family val="2"/>
          </rPr>
          <t>Usuário:</t>
        </r>
        <r>
          <rPr>
            <sz val="9"/>
            <color indexed="81"/>
            <rFont val="Tahoma"/>
            <family val="2"/>
          </rPr>
          <t xml:space="preserve">
VERDE COM TELHA</t>
        </r>
      </text>
    </comment>
    <comment ref="G53" authorId="0" shapeId="0" xr:uid="{00000000-0006-0000-0200-000033000000}">
      <text>
        <r>
          <rPr>
            <b/>
            <sz val="9"/>
            <color indexed="81"/>
            <rFont val="Tahoma"/>
            <family val="2"/>
          </rPr>
          <t>Usuário:</t>
        </r>
        <r>
          <rPr>
            <sz val="9"/>
            <color indexed="81"/>
            <rFont val="Tahoma"/>
            <family val="2"/>
          </rPr>
          <t xml:space="preserve">
VERDE COM CINZA</t>
        </r>
      </text>
    </comment>
    <comment ref="H53" authorId="0" shapeId="0" xr:uid="{00000000-0006-0000-0200-000034000000}">
      <text>
        <r>
          <rPr>
            <b/>
            <sz val="9"/>
            <color indexed="81"/>
            <rFont val="Tahoma"/>
            <family val="2"/>
          </rPr>
          <t>Usuário:</t>
        </r>
        <r>
          <rPr>
            <sz val="9"/>
            <color indexed="81"/>
            <rFont val="Tahoma"/>
            <family val="2"/>
          </rPr>
          <t xml:space="preserve">
TELHA COM VERDE</t>
        </r>
      </text>
    </comment>
    <comment ref="I53" authorId="0" shapeId="0" xr:uid="{00000000-0006-0000-0200-000035000000}">
      <text>
        <r>
          <rPr>
            <b/>
            <sz val="9"/>
            <color indexed="81"/>
            <rFont val="Tahoma"/>
            <family val="2"/>
          </rPr>
          <t>Usuário:</t>
        </r>
        <r>
          <rPr>
            <sz val="9"/>
            <color indexed="81"/>
            <rFont val="Tahoma"/>
            <family val="2"/>
          </rPr>
          <t xml:space="preserve">
TELHA COM TELHA</t>
        </r>
      </text>
    </comment>
    <comment ref="J53" authorId="0" shapeId="0" xr:uid="{00000000-0006-0000-0200-000036000000}">
      <text>
        <r>
          <rPr>
            <b/>
            <sz val="9"/>
            <color indexed="81"/>
            <rFont val="Tahoma"/>
            <family val="2"/>
          </rPr>
          <t>Usuário:</t>
        </r>
        <r>
          <rPr>
            <sz val="9"/>
            <color indexed="81"/>
            <rFont val="Tahoma"/>
            <family val="2"/>
          </rPr>
          <t xml:space="preserve">
TELHA COM CINZA</t>
        </r>
      </text>
    </comment>
    <comment ref="B63" authorId="0" shapeId="0" xr:uid="{00000000-0006-0000-0200-000037000000}">
      <text>
        <r>
          <rPr>
            <b/>
            <sz val="9"/>
            <color indexed="81"/>
            <rFont val="Tahoma"/>
            <family val="2"/>
          </rPr>
          <t>Usuário:</t>
        </r>
        <r>
          <rPr>
            <sz val="9"/>
            <color indexed="81"/>
            <rFont val="Tahoma"/>
            <family val="2"/>
          </rPr>
          <t xml:space="preserve">
VERDE</t>
        </r>
      </text>
    </comment>
    <comment ref="C63" authorId="0" shapeId="0" xr:uid="{00000000-0006-0000-0200-000038000000}">
      <text>
        <r>
          <rPr>
            <b/>
            <sz val="9"/>
            <color indexed="81"/>
            <rFont val="Tahoma"/>
            <family val="2"/>
          </rPr>
          <t>Usuário:</t>
        </r>
        <r>
          <rPr>
            <sz val="9"/>
            <color indexed="81"/>
            <rFont val="Tahoma"/>
            <family val="2"/>
          </rPr>
          <t xml:space="preserve">
TELHA</t>
        </r>
      </text>
    </comment>
    <comment ref="D63" authorId="0" shapeId="0" xr:uid="{00000000-0006-0000-0200-000039000000}">
      <text>
        <r>
          <rPr>
            <b/>
            <sz val="9"/>
            <color indexed="81"/>
            <rFont val="Tahoma"/>
            <family val="2"/>
          </rPr>
          <t>Usuário:</t>
        </r>
        <r>
          <rPr>
            <sz val="9"/>
            <color indexed="81"/>
            <rFont val="Tahoma"/>
            <family val="2"/>
          </rPr>
          <t xml:space="preserve">
LARANJA</t>
        </r>
      </text>
    </comment>
    <comment ref="E63" authorId="0" shapeId="0" xr:uid="{00000000-0006-0000-0200-00003A000000}">
      <text>
        <r>
          <rPr>
            <b/>
            <sz val="9"/>
            <color indexed="81"/>
            <rFont val="Tahoma"/>
            <family val="2"/>
          </rPr>
          <t>Usuário:</t>
        </r>
        <r>
          <rPr>
            <sz val="9"/>
            <color indexed="81"/>
            <rFont val="Tahoma"/>
            <family val="2"/>
          </rPr>
          <t xml:space="preserve">
VERDE COM VERDE</t>
        </r>
      </text>
    </comment>
    <comment ref="F63" authorId="0" shapeId="0" xr:uid="{00000000-0006-0000-0200-00003B000000}">
      <text>
        <r>
          <rPr>
            <b/>
            <sz val="9"/>
            <color indexed="81"/>
            <rFont val="Tahoma"/>
            <family val="2"/>
          </rPr>
          <t>Usuário:</t>
        </r>
        <r>
          <rPr>
            <sz val="9"/>
            <color indexed="81"/>
            <rFont val="Tahoma"/>
            <family val="2"/>
          </rPr>
          <t xml:space="preserve">
VERDE COM TELHA</t>
        </r>
      </text>
    </comment>
    <comment ref="G63" authorId="0" shapeId="0" xr:uid="{00000000-0006-0000-0200-00003C000000}">
      <text>
        <r>
          <rPr>
            <b/>
            <sz val="9"/>
            <color indexed="81"/>
            <rFont val="Tahoma"/>
            <family val="2"/>
          </rPr>
          <t>Usuário:</t>
        </r>
        <r>
          <rPr>
            <sz val="9"/>
            <color indexed="81"/>
            <rFont val="Tahoma"/>
            <family val="2"/>
          </rPr>
          <t xml:space="preserve">
VERDE COM CINZA</t>
        </r>
      </text>
    </comment>
    <comment ref="H63" authorId="0" shapeId="0" xr:uid="{00000000-0006-0000-0200-00003D000000}">
      <text>
        <r>
          <rPr>
            <b/>
            <sz val="9"/>
            <color indexed="81"/>
            <rFont val="Tahoma"/>
            <family val="2"/>
          </rPr>
          <t>Usuário:</t>
        </r>
        <r>
          <rPr>
            <sz val="9"/>
            <color indexed="81"/>
            <rFont val="Tahoma"/>
            <family val="2"/>
          </rPr>
          <t xml:space="preserve">
TELHA COM VERDE</t>
        </r>
      </text>
    </comment>
    <comment ref="I63" authorId="0" shapeId="0" xr:uid="{00000000-0006-0000-0200-00003E000000}">
      <text>
        <r>
          <rPr>
            <b/>
            <sz val="9"/>
            <color indexed="81"/>
            <rFont val="Tahoma"/>
            <family val="2"/>
          </rPr>
          <t>Usuário:</t>
        </r>
        <r>
          <rPr>
            <sz val="9"/>
            <color indexed="81"/>
            <rFont val="Tahoma"/>
            <family val="2"/>
          </rPr>
          <t xml:space="preserve">
TELHA COM TELHA</t>
        </r>
      </text>
    </comment>
    <comment ref="J63" authorId="0" shapeId="0" xr:uid="{00000000-0006-0000-0200-00003F000000}">
      <text>
        <r>
          <rPr>
            <b/>
            <sz val="9"/>
            <color indexed="81"/>
            <rFont val="Tahoma"/>
            <family val="2"/>
          </rPr>
          <t>Usuário:</t>
        </r>
        <r>
          <rPr>
            <sz val="9"/>
            <color indexed="81"/>
            <rFont val="Tahoma"/>
            <family val="2"/>
          </rPr>
          <t xml:space="preserve">
TELHA COM CINZA</t>
        </r>
      </text>
    </comment>
    <comment ref="B73" authorId="0" shapeId="0" xr:uid="{00000000-0006-0000-0200-000040000000}">
      <text>
        <r>
          <rPr>
            <b/>
            <sz val="9"/>
            <color indexed="81"/>
            <rFont val="Tahoma"/>
            <family val="2"/>
          </rPr>
          <t>Usuário:</t>
        </r>
        <r>
          <rPr>
            <sz val="9"/>
            <color indexed="81"/>
            <rFont val="Tahoma"/>
            <family val="2"/>
          </rPr>
          <t xml:space="preserve">
VERDE</t>
        </r>
      </text>
    </comment>
    <comment ref="C73" authorId="0" shapeId="0" xr:uid="{00000000-0006-0000-0200-000041000000}">
      <text>
        <r>
          <rPr>
            <b/>
            <sz val="9"/>
            <color indexed="81"/>
            <rFont val="Tahoma"/>
            <family val="2"/>
          </rPr>
          <t>Usuário:</t>
        </r>
        <r>
          <rPr>
            <sz val="9"/>
            <color indexed="81"/>
            <rFont val="Tahoma"/>
            <family val="2"/>
          </rPr>
          <t xml:space="preserve">
TELHA</t>
        </r>
      </text>
    </comment>
    <comment ref="D73" authorId="0" shapeId="0" xr:uid="{00000000-0006-0000-0200-000042000000}">
      <text>
        <r>
          <rPr>
            <b/>
            <sz val="9"/>
            <color indexed="81"/>
            <rFont val="Tahoma"/>
            <family val="2"/>
          </rPr>
          <t>Usuário:</t>
        </r>
        <r>
          <rPr>
            <sz val="9"/>
            <color indexed="81"/>
            <rFont val="Tahoma"/>
            <family val="2"/>
          </rPr>
          <t xml:space="preserve">
LARANJA</t>
        </r>
      </text>
    </comment>
    <comment ref="E73" authorId="0" shapeId="0" xr:uid="{00000000-0006-0000-0200-000043000000}">
      <text>
        <r>
          <rPr>
            <b/>
            <sz val="9"/>
            <color indexed="81"/>
            <rFont val="Tahoma"/>
            <family val="2"/>
          </rPr>
          <t>Usuário:</t>
        </r>
        <r>
          <rPr>
            <sz val="9"/>
            <color indexed="81"/>
            <rFont val="Tahoma"/>
            <family val="2"/>
          </rPr>
          <t xml:space="preserve">
VERDE COM VERDE</t>
        </r>
      </text>
    </comment>
    <comment ref="F73" authorId="0" shapeId="0" xr:uid="{00000000-0006-0000-0200-000044000000}">
      <text>
        <r>
          <rPr>
            <b/>
            <sz val="9"/>
            <color indexed="81"/>
            <rFont val="Tahoma"/>
            <family val="2"/>
          </rPr>
          <t>Usuário:</t>
        </r>
        <r>
          <rPr>
            <sz val="9"/>
            <color indexed="81"/>
            <rFont val="Tahoma"/>
            <family val="2"/>
          </rPr>
          <t xml:space="preserve">
VERDE COM TELHA</t>
        </r>
      </text>
    </comment>
    <comment ref="G73" authorId="0" shapeId="0" xr:uid="{00000000-0006-0000-0200-000045000000}">
      <text>
        <r>
          <rPr>
            <b/>
            <sz val="9"/>
            <color indexed="81"/>
            <rFont val="Tahoma"/>
            <family val="2"/>
          </rPr>
          <t>Usuário:</t>
        </r>
        <r>
          <rPr>
            <sz val="9"/>
            <color indexed="81"/>
            <rFont val="Tahoma"/>
            <family val="2"/>
          </rPr>
          <t xml:space="preserve">
VERDE COM CINZA</t>
        </r>
      </text>
    </comment>
    <comment ref="H73" authorId="0" shapeId="0" xr:uid="{00000000-0006-0000-0200-000046000000}">
      <text>
        <r>
          <rPr>
            <b/>
            <sz val="9"/>
            <color indexed="81"/>
            <rFont val="Tahoma"/>
            <family val="2"/>
          </rPr>
          <t>Usuário:</t>
        </r>
        <r>
          <rPr>
            <sz val="9"/>
            <color indexed="81"/>
            <rFont val="Tahoma"/>
            <family val="2"/>
          </rPr>
          <t xml:space="preserve">
TELHA COM VERDE</t>
        </r>
      </text>
    </comment>
    <comment ref="I73" authorId="0" shapeId="0" xr:uid="{00000000-0006-0000-0200-000047000000}">
      <text>
        <r>
          <rPr>
            <b/>
            <sz val="9"/>
            <color indexed="81"/>
            <rFont val="Tahoma"/>
            <family val="2"/>
          </rPr>
          <t>Usuário:</t>
        </r>
        <r>
          <rPr>
            <sz val="9"/>
            <color indexed="81"/>
            <rFont val="Tahoma"/>
            <family val="2"/>
          </rPr>
          <t xml:space="preserve">
TELHA COM TELHA</t>
        </r>
      </text>
    </comment>
    <comment ref="J73" authorId="0" shapeId="0" xr:uid="{00000000-0006-0000-0200-000048000000}">
      <text>
        <r>
          <rPr>
            <b/>
            <sz val="9"/>
            <color indexed="81"/>
            <rFont val="Tahoma"/>
            <family val="2"/>
          </rPr>
          <t>Usuário:</t>
        </r>
        <r>
          <rPr>
            <sz val="9"/>
            <color indexed="81"/>
            <rFont val="Tahoma"/>
            <family val="2"/>
          </rPr>
          <t xml:space="preserve">
TELHA COM CINZA</t>
        </r>
      </text>
    </comment>
    <comment ref="B83" authorId="0" shapeId="0" xr:uid="{00000000-0006-0000-0200-000049000000}">
      <text>
        <r>
          <rPr>
            <b/>
            <sz val="9"/>
            <color indexed="81"/>
            <rFont val="Tahoma"/>
            <family val="2"/>
          </rPr>
          <t>Usuário:</t>
        </r>
        <r>
          <rPr>
            <sz val="9"/>
            <color indexed="81"/>
            <rFont val="Tahoma"/>
            <family val="2"/>
          </rPr>
          <t xml:space="preserve">
VERDE</t>
        </r>
      </text>
    </comment>
    <comment ref="C83" authorId="0" shapeId="0" xr:uid="{00000000-0006-0000-0200-00004A000000}">
      <text>
        <r>
          <rPr>
            <b/>
            <sz val="9"/>
            <color indexed="81"/>
            <rFont val="Tahoma"/>
            <family val="2"/>
          </rPr>
          <t>Usuário:</t>
        </r>
        <r>
          <rPr>
            <sz val="9"/>
            <color indexed="81"/>
            <rFont val="Tahoma"/>
            <family val="2"/>
          </rPr>
          <t xml:space="preserve">
TELHA</t>
        </r>
      </text>
    </comment>
    <comment ref="D83" authorId="0" shapeId="0" xr:uid="{00000000-0006-0000-0200-00004B000000}">
      <text>
        <r>
          <rPr>
            <b/>
            <sz val="9"/>
            <color indexed="81"/>
            <rFont val="Tahoma"/>
            <family val="2"/>
          </rPr>
          <t>Usuário:</t>
        </r>
        <r>
          <rPr>
            <sz val="9"/>
            <color indexed="81"/>
            <rFont val="Tahoma"/>
            <family val="2"/>
          </rPr>
          <t xml:space="preserve">
LARANJA</t>
        </r>
      </text>
    </comment>
    <comment ref="E83" authorId="0" shapeId="0" xr:uid="{00000000-0006-0000-0200-00004C000000}">
      <text>
        <r>
          <rPr>
            <b/>
            <sz val="9"/>
            <color indexed="81"/>
            <rFont val="Tahoma"/>
            <family val="2"/>
          </rPr>
          <t>Usuário:</t>
        </r>
        <r>
          <rPr>
            <sz val="9"/>
            <color indexed="81"/>
            <rFont val="Tahoma"/>
            <family val="2"/>
          </rPr>
          <t xml:space="preserve">
VERDE COM VERDE</t>
        </r>
      </text>
    </comment>
    <comment ref="F83" authorId="0" shapeId="0" xr:uid="{00000000-0006-0000-0200-00004D000000}">
      <text>
        <r>
          <rPr>
            <b/>
            <sz val="9"/>
            <color indexed="81"/>
            <rFont val="Tahoma"/>
            <family val="2"/>
          </rPr>
          <t>Usuário:</t>
        </r>
        <r>
          <rPr>
            <sz val="9"/>
            <color indexed="81"/>
            <rFont val="Tahoma"/>
            <family val="2"/>
          </rPr>
          <t xml:space="preserve">
VERDE COM TELHA</t>
        </r>
      </text>
    </comment>
    <comment ref="G83" authorId="0" shapeId="0" xr:uid="{00000000-0006-0000-0200-00004E000000}">
      <text>
        <r>
          <rPr>
            <b/>
            <sz val="9"/>
            <color indexed="81"/>
            <rFont val="Tahoma"/>
            <family val="2"/>
          </rPr>
          <t>Usuário:</t>
        </r>
        <r>
          <rPr>
            <sz val="9"/>
            <color indexed="81"/>
            <rFont val="Tahoma"/>
            <family val="2"/>
          </rPr>
          <t xml:space="preserve">
VERDE COM CINZA</t>
        </r>
      </text>
    </comment>
    <comment ref="H83" authorId="0" shapeId="0" xr:uid="{00000000-0006-0000-0200-00004F000000}">
      <text>
        <r>
          <rPr>
            <b/>
            <sz val="9"/>
            <color indexed="81"/>
            <rFont val="Tahoma"/>
            <family val="2"/>
          </rPr>
          <t>Usuário:</t>
        </r>
        <r>
          <rPr>
            <sz val="9"/>
            <color indexed="81"/>
            <rFont val="Tahoma"/>
            <family val="2"/>
          </rPr>
          <t xml:space="preserve">
TELHA COM VERDE</t>
        </r>
      </text>
    </comment>
    <comment ref="I83" authorId="0" shapeId="0" xr:uid="{00000000-0006-0000-0200-000050000000}">
      <text>
        <r>
          <rPr>
            <b/>
            <sz val="9"/>
            <color indexed="81"/>
            <rFont val="Tahoma"/>
            <family val="2"/>
          </rPr>
          <t>Usuário:</t>
        </r>
        <r>
          <rPr>
            <sz val="9"/>
            <color indexed="81"/>
            <rFont val="Tahoma"/>
            <family val="2"/>
          </rPr>
          <t xml:space="preserve">
TELHA COM TELHA</t>
        </r>
      </text>
    </comment>
    <comment ref="J83" authorId="0" shapeId="0" xr:uid="{00000000-0006-0000-0200-000051000000}">
      <text>
        <r>
          <rPr>
            <b/>
            <sz val="9"/>
            <color indexed="81"/>
            <rFont val="Tahoma"/>
            <family val="2"/>
          </rPr>
          <t>Usuário:</t>
        </r>
        <r>
          <rPr>
            <sz val="9"/>
            <color indexed="81"/>
            <rFont val="Tahoma"/>
            <family val="2"/>
          </rPr>
          <t xml:space="preserve">
TELHA COM CINZA</t>
        </r>
      </text>
    </comment>
    <comment ref="B93" authorId="0" shapeId="0" xr:uid="{00000000-0006-0000-0200-000052000000}">
      <text>
        <r>
          <rPr>
            <b/>
            <sz val="9"/>
            <color indexed="81"/>
            <rFont val="Tahoma"/>
            <family val="2"/>
          </rPr>
          <t>Usuário:</t>
        </r>
        <r>
          <rPr>
            <sz val="9"/>
            <color indexed="81"/>
            <rFont val="Tahoma"/>
            <family val="2"/>
          </rPr>
          <t xml:space="preserve">
VERDE</t>
        </r>
      </text>
    </comment>
    <comment ref="C93" authorId="0" shapeId="0" xr:uid="{00000000-0006-0000-0200-000053000000}">
      <text>
        <r>
          <rPr>
            <b/>
            <sz val="9"/>
            <color indexed="81"/>
            <rFont val="Tahoma"/>
            <family val="2"/>
          </rPr>
          <t>Usuário:</t>
        </r>
        <r>
          <rPr>
            <sz val="9"/>
            <color indexed="81"/>
            <rFont val="Tahoma"/>
            <family val="2"/>
          </rPr>
          <t xml:space="preserve">
TELHA</t>
        </r>
      </text>
    </comment>
    <comment ref="D93" authorId="0" shapeId="0" xr:uid="{00000000-0006-0000-0200-000054000000}">
      <text>
        <r>
          <rPr>
            <b/>
            <sz val="9"/>
            <color indexed="81"/>
            <rFont val="Tahoma"/>
            <family val="2"/>
          </rPr>
          <t>Usuário:</t>
        </r>
        <r>
          <rPr>
            <sz val="9"/>
            <color indexed="81"/>
            <rFont val="Tahoma"/>
            <family val="2"/>
          </rPr>
          <t xml:space="preserve">
LARANJA</t>
        </r>
      </text>
    </comment>
    <comment ref="E93" authorId="0" shapeId="0" xr:uid="{00000000-0006-0000-0200-000055000000}">
      <text>
        <r>
          <rPr>
            <b/>
            <sz val="9"/>
            <color indexed="81"/>
            <rFont val="Tahoma"/>
            <family val="2"/>
          </rPr>
          <t>Usuário:</t>
        </r>
        <r>
          <rPr>
            <sz val="9"/>
            <color indexed="81"/>
            <rFont val="Tahoma"/>
            <family val="2"/>
          </rPr>
          <t xml:space="preserve">
VERDE COM VERDE</t>
        </r>
      </text>
    </comment>
    <comment ref="F93" authorId="0" shapeId="0" xr:uid="{00000000-0006-0000-0200-000056000000}">
      <text>
        <r>
          <rPr>
            <b/>
            <sz val="9"/>
            <color indexed="81"/>
            <rFont val="Tahoma"/>
            <family val="2"/>
          </rPr>
          <t>Usuário:</t>
        </r>
        <r>
          <rPr>
            <sz val="9"/>
            <color indexed="81"/>
            <rFont val="Tahoma"/>
            <family val="2"/>
          </rPr>
          <t xml:space="preserve">
VERDE COM TELHA</t>
        </r>
      </text>
    </comment>
    <comment ref="G93" authorId="0" shapeId="0" xr:uid="{00000000-0006-0000-0200-000057000000}">
      <text>
        <r>
          <rPr>
            <b/>
            <sz val="9"/>
            <color indexed="81"/>
            <rFont val="Tahoma"/>
            <family val="2"/>
          </rPr>
          <t>Usuário:</t>
        </r>
        <r>
          <rPr>
            <sz val="9"/>
            <color indexed="81"/>
            <rFont val="Tahoma"/>
            <family val="2"/>
          </rPr>
          <t xml:space="preserve">
VERDE COM CINZA</t>
        </r>
      </text>
    </comment>
    <comment ref="H93" authorId="0" shapeId="0" xr:uid="{00000000-0006-0000-0200-000058000000}">
      <text>
        <r>
          <rPr>
            <b/>
            <sz val="9"/>
            <color indexed="81"/>
            <rFont val="Tahoma"/>
            <family val="2"/>
          </rPr>
          <t>Usuário:</t>
        </r>
        <r>
          <rPr>
            <sz val="9"/>
            <color indexed="81"/>
            <rFont val="Tahoma"/>
            <family val="2"/>
          </rPr>
          <t xml:space="preserve">
TELHA COM VERDE</t>
        </r>
      </text>
    </comment>
    <comment ref="I93" authorId="0" shapeId="0" xr:uid="{00000000-0006-0000-0200-000059000000}">
      <text>
        <r>
          <rPr>
            <b/>
            <sz val="9"/>
            <color indexed="81"/>
            <rFont val="Tahoma"/>
            <family val="2"/>
          </rPr>
          <t>Usuário:</t>
        </r>
        <r>
          <rPr>
            <sz val="9"/>
            <color indexed="81"/>
            <rFont val="Tahoma"/>
            <family val="2"/>
          </rPr>
          <t xml:space="preserve">
TELHA COM TELHA</t>
        </r>
      </text>
    </comment>
    <comment ref="J93" authorId="0" shapeId="0" xr:uid="{00000000-0006-0000-0200-00005A000000}">
      <text>
        <r>
          <rPr>
            <b/>
            <sz val="9"/>
            <color indexed="81"/>
            <rFont val="Tahoma"/>
            <family val="2"/>
          </rPr>
          <t>Usuário:</t>
        </r>
        <r>
          <rPr>
            <sz val="9"/>
            <color indexed="81"/>
            <rFont val="Tahoma"/>
            <family val="2"/>
          </rPr>
          <t xml:space="preserve">
TELHA COM CINZA</t>
        </r>
      </text>
    </comment>
    <comment ref="B103" authorId="0" shapeId="0" xr:uid="{00000000-0006-0000-0200-00005B000000}">
      <text>
        <r>
          <rPr>
            <b/>
            <sz val="9"/>
            <color indexed="81"/>
            <rFont val="Tahoma"/>
            <family val="2"/>
          </rPr>
          <t>Usuário:</t>
        </r>
        <r>
          <rPr>
            <sz val="9"/>
            <color indexed="81"/>
            <rFont val="Tahoma"/>
            <family val="2"/>
          </rPr>
          <t xml:space="preserve">
VERDE</t>
        </r>
      </text>
    </comment>
    <comment ref="C103" authorId="0" shapeId="0" xr:uid="{00000000-0006-0000-0200-00005C000000}">
      <text>
        <r>
          <rPr>
            <b/>
            <sz val="9"/>
            <color indexed="81"/>
            <rFont val="Tahoma"/>
            <family val="2"/>
          </rPr>
          <t>Usuário:</t>
        </r>
        <r>
          <rPr>
            <sz val="9"/>
            <color indexed="81"/>
            <rFont val="Tahoma"/>
            <family val="2"/>
          </rPr>
          <t xml:space="preserve">
TELHA</t>
        </r>
      </text>
    </comment>
    <comment ref="D103" authorId="0" shapeId="0" xr:uid="{00000000-0006-0000-0200-00005D000000}">
      <text>
        <r>
          <rPr>
            <b/>
            <sz val="9"/>
            <color indexed="81"/>
            <rFont val="Tahoma"/>
            <family val="2"/>
          </rPr>
          <t>Usuário:</t>
        </r>
        <r>
          <rPr>
            <sz val="9"/>
            <color indexed="81"/>
            <rFont val="Tahoma"/>
            <family val="2"/>
          </rPr>
          <t xml:space="preserve">
LARANJA</t>
        </r>
      </text>
    </comment>
    <comment ref="E103" authorId="0" shapeId="0" xr:uid="{00000000-0006-0000-0200-00005E000000}">
      <text>
        <r>
          <rPr>
            <b/>
            <sz val="9"/>
            <color indexed="81"/>
            <rFont val="Tahoma"/>
            <family val="2"/>
          </rPr>
          <t>Usuário:</t>
        </r>
        <r>
          <rPr>
            <sz val="9"/>
            <color indexed="81"/>
            <rFont val="Tahoma"/>
            <family val="2"/>
          </rPr>
          <t xml:space="preserve">
VERDE COM VERDE</t>
        </r>
      </text>
    </comment>
    <comment ref="F103" authorId="0" shapeId="0" xr:uid="{00000000-0006-0000-0200-00005F000000}">
      <text>
        <r>
          <rPr>
            <b/>
            <sz val="9"/>
            <color indexed="81"/>
            <rFont val="Tahoma"/>
            <family val="2"/>
          </rPr>
          <t>Usuário:</t>
        </r>
        <r>
          <rPr>
            <sz val="9"/>
            <color indexed="81"/>
            <rFont val="Tahoma"/>
            <family val="2"/>
          </rPr>
          <t xml:space="preserve">
VERDE COM TELHA</t>
        </r>
      </text>
    </comment>
    <comment ref="G103" authorId="0" shapeId="0" xr:uid="{00000000-0006-0000-0200-000060000000}">
      <text>
        <r>
          <rPr>
            <b/>
            <sz val="9"/>
            <color indexed="81"/>
            <rFont val="Tahoma"/>
            <family val="2"/>
          </rPr>
          <t>Usuário:</t>
        </r>
        <r>
          <rPr>
            <sz val="9"/>
            <color indexed="81"/>
            <rFont val="Tahoma"/>
            <family val="2"/>
          </rPr>
          <t xml:space="preserve">
VERDE COM CINZA</t>
        </r>
      </text>
    </comment>
    <comment ref="H103" authorId="0" shapeId="0" xr:uid="{00000000-0006-0000-0200-000061000000}">
      <text>
        <r>
          <rPr>
            <b/>
            <sz val="9"/>
            <color indexed="81"/>
            <rFont val="Tahoma"/>
            <family val="2"/>
          </rPr>
          <t>Usuário:</t>
        </r>
        <r>
          <rPr>
            <sz val="9"/>
            <color indexed="81"/>
            <rFont val="Tahoma"/>
            <family val="2"/>
          </rPr>
          <t xml:space="preserve">
TELHA COM VERDE</t>
        </r>
      </text>
    </comment>
    <comment ref="I103" authorId="0" shapeId="0" xr:uid="{00000000-0006-0000-0200-000062000000}">
      <text>
        <r>
          <rPr>
            <b/>
            <sz val="9"/>
            <color indexed="81"/>
            <rFont val="Tahoma"/>
            <family val="2"/>
          </rPr>
          <t>Usuário:</t>
        </r>
        <r>
          <rPr>
            <sz val="9"/>
            <color indexed="81"/>
            <rFont val="Tahoma"/>
            <family val="2"/>
          </rPr>
          <t xml:space="preserve">
TELHA COM TELHA</t>
        </r>
      </text>
    </comment>
    <comment ref="J103" authorId="0" shapeId="0" xr:uid="{00000000-0006-0000-0200-000063000000}">
      <text>
        <r>
          <rPr>
            <b/>
            <sz val="9"/>
            <color indexed="81"/>
            <rFont val="Tahoma"/>
            <family val="2"/>
          </rPr>
          <t>Usuário:</t>
        </r>
        <r>
          <rPr>
            <sz val="9"/>
            <color indexed="81"/>
            <rFont val="Tahoma"/>
            <family val="2"/>
          </rPr>
          <t xml:space="preserve">
TELHA COM CINZA</t>
        </r>
      </text>
    </comment>
    <comment ref="B113" authorId="0" shapeId="0" xr:uid="{00000000-0006-0000-0200-000064000000}">
      <text>
        <r>
          <rPr>
            <b/>
            <sz val="9"/>
            <color indexed="81"/>
            <rFont val="Tahoma"/>
            <family val="2"/>
          </rPr>
          <t>Usuário:</t>
        </r>
        <r>
          <rPr>
            <sz val="9"/>
            <color indexed="81"/>
            <rFont val="Tahoma"/>
            <family val="2"/>
          </rPr>
          <t xml:space="preserve">
VERDE</t>
        </r>
      </text>
    </comment>
    <comment ref="C113" authorId="0" shapeId="0" xr:uid="{00000000-0006-0000-0200-000065000000}">
      <text>
        <r>
          <rPr>
            <b/>
            <sz val="9"/>
            <color indexed="81"/>
            <rFont val="Tahoma"/>
            <family val="2"/>
          </rPr>
          <t>Usuário:</t>
        </r>
        <r>
          <rPr>
            <sz val="9"/>
            <color indexed="81"/>
            <rFont val="Tahoma"/>
            <family val="2"/>
          </rPr>
          <t xml:space="preserve">
TELHA</t>
        </r>
      </text>
    </comment>
    <comment ref="D113" authorId="0" shapeId="0" xr:uid="{00000000-0006-0000-0200-000066000000}">
      <text>
        <r>
          <rPr>
            <b/>
            <sz val="9"/>
            <color indexed="81"/>
            <rFont val="Tahoma"/>
            <family val="2"/>
          </rPr>
          <t>Usuário:</t>
        </r>
        <r>
          <rPr>
            <sz val="9"/>
            <color indexed="81"/>
            <rFont val="Tahoma"/>
            <family val="2"/>
          </rPr>
          <t xml:space="preserve">
LARANJA</t>
        </r>
      </text>
    </comment>
    <comment ref="E113" authorId="0" shapeId="0" xr:uid="{00000000-0006-0000-0200-000067000000}">
      <text>
        <r>
          <rPr>
            <b/>
            <sz val="9"/>
            <color indexed="81"/>
            <rFont val="Tahoma"/>
            <family val="2"/>
          </rPr>
          <t>Usuário:</t>
        </r>
        <r>
          <rPr>
            <sz val="9"/>
            <color indexed="81"/>
            <rFont val="Tahoma"/>
            <family val="2"/>
          </rPr>
          <t xml:space="preserve">
VERDE COM VERDE</t>
        </r>
      </text>
    </comment>
    <comment ref="F113" authorId="0" shapeId="0" xr:uid="{00000000-0006-0000-0200-000068000000}">
      <text>
        <r>
          <rPr>
            <b/>
            <sz val="9"/>
            <color indexed="81"/>
            <rFont val="Tahoma"/>
            <family val="2"/>
          </rPr>
          <t>Usuário:</t>
        </r>
        <r>
          <rPr>
            <sz val="9"/>
            <color indexed="81"/>
            <rFont val="Tahoma"/>
            <family val="2"/>
          </rPr>
          <t xml:space="preserve">
VERDE COM TELHA</t>
        </r>
      </text>
    </comment>
    <comment ref="G113" authorId="0" shapeId="0" xr:uid="{00000000-0006-0000-0200-000069000000}">
      <text>
        <r>
          <rPr>
            <b/>
            <sz val="9"/>
            <color indexed="81"/>
            <rFont val="Tahoma"/>
            <family val="2"/>
          </rPr>
          <t>Usuário:</t>
        </r>
        <r>
          <rPr>
            <sz val="9"/>
            <color indexed="81"/>
            <rFont val="Tahoma"/>
            <family val="2"/>
          </rPr>
          <t xml:space="preserve">
VERDE COM CINZA</t>
        </r>
      </text>
    </comment>
    <comment ref="H113" authorId="0" shapeId="0" xr:uid="{00000000-0006-0000-0200-00006A000000}">
      <text>
        <r>
          <rPr>
            <b/>
            <sz val="9"/>
            <color indexed="81"/>
            <rFont val="Tahoma"/>
            <family val="2"/>
          </rPr>
          <t>Usuário:</t>
        </r>
        <r>
          <rPr>
            <sz val="9"/>
            <color indexed="81"/>
            <rFont val="Tahoma"/>
            <family val="2"/>
          </rPr>
          <t xml:space="preserve">
TELHA COM VERDE</t>
        </r>
      </text>
    </comment>
    <comment ref="I113" authorId="0" shapeId="0" xr:uid="{00000000-0006-0000-0200-00006B000000}">
      <text>
        <r>
          <rPr>
            <b/>
            <sz val="9"/>
            <color indexed="81"/>
            <rFont val="Tahoma"/>
            <family val="2"/>
          </rPr>
          <t>Usuário:</t>
        </r>
        <r>
          <rPr>
            <sz val="9"/>
            <color indexed="81"/>
            <rFont val="Tahoma"/>
            <family val="2"/>
          </rPr>
          <t xml:space="preserve">
TELHA COM TELHA</t>
        </r>
      </text>
    </comment>
    <comment ref="J113" authorId="0" shapeId="0" xr:uid="{00000000-0006-0000-0200-00006C000000}">
      <text>
        <r>
          <rPr>
            <b/>
            <sz val="9"/>
            <color indexed="81"/>
            <rFont val="Tahoma"/>
            <family val="2"/>
          </rPr>
          <t>Usuário:</t>
        </r>
        <r>
          <rPr>
            <sz val="9"/>
            <color indexed="81"/>
            <rFont val="Tahoma"/>
            <family val="2"/>
          </rPr>
          <t xml:space="preserve">
TELHA COM CINZA</t>
        </r>
      </text>
    </comment>
    <comment ref="B123" authorId="0" shapeId="0" xr:uid="{00000000-0006-0000-0200-00006D000000}">
      <text>
        <r>
          <rPr>
            <b/>
            <sz val="9"/>
            <color indexed="81"/>
            <rFont val="Tahoma"/>
            <family val="2"/>
          </rPr>
          <t>Usuário:</t>
        </r>
        <r>
          <rPr>
            <sz val="9"/>
            <color indexed="81"/>
            <rFont val="Tahoma"/>
            <family val="2"/>
          </rPr>
          <t xml:space="preserve">
VERDE</t>
        </r>
      </text>
    </comment>
    <comment ref="C123" authorId="0" shapeId="0" xr:uid="{00000000-0006-0000-0200-00006E000000}">
      <text>
        <r>
          <rPr>
            <b/>
            <sz val="9"/>
            <color indexed="81"/>
            <rFont val="Tahoma"/>
            <family val="2"/>
          </rPr>
          <t>Usuário:</t>
        </r>
        <r>
          <rPr>
            <sz val="9"/>
            <color indexed="81"/>
            <rFont val="Tahoma"/>
            <family val="2"/>
          </rPr>
          <t xml:space="preserve">
TELHA</t>
        </r>
      </text>
    </comment>
    <comment ref="D123" authorId="0" shapeId="0" xr:uid="{00000000-0006-0000-0200-00006F000000}">
      <text>
        <r>
          <rPr>
            <b/>
            <sz val="9"/>
            <color indexed="81"/>
            <rFont val="Tahoma"/>
            <family val="2"/>
          </rPr>
          <t>Usuário:</t>
        </r>
        <r>
          <rPr>
            <sz val="9"/>
            <color indexed="81"/>
            <rFont val="Tahoma"/>
            <family val="2"/>
          </rPr>
          <t xml:space="preserve">
LARANJA</t>
        </r>
      </text>
    </comment>
    <comment ref="E123" authorId="0" shapeId="0" xr:uid="{00000000-0006-0000-0200-000070000000}">
      <text>
        <r>
          <rPr>
            <b/>
            <sz val="9"/>
            <color indexed="81"/>
            <rFont val="Tahoma"/>
            <family val="2"/>
          </rPr>
          <t>Usuário:</t>
        </r>
        <r>
          <rPr>
            <sz val="9"/>
            <color indexed="81"/>
            <rFont val="Tahoma"/>
            <family val="2"/>
          </rPr>
          <t xml:space="preserve">
VERDE COM VERDE</t>
        </r>
      </text>
    </comment>
    <comment ref="F123" authorId="0" shapeId="0" xr:uid="{00000000-0006-0000-0200-000071000000}">
      <text>
        <r>
          <rPr>
            <b/>
            <sz val="9"/>
            <color indexed="81"/>
            <rFont val="Tahoma"/>
            <family val="2"/>
          </rPr>
          <t>Usuário:</t>
        </r>
        <r>
          <rPr>
            <sz val="9"/>
            <color indexed="81"/>
            <rFont val="Tahoma"/>
            <family val="2"/>
          </rPr>
          <t xml:space="preserve">
VERDE COM TELHA</t>
        </r>
      </text>
    </comment>
    <comment ref="G123" authorId="0" shapeId="0" xr:uid="{00000000-0006-0000-0200-000072000000}">
      <text>
        <r>
          <rPr>
            <b/>
            <sz val="9"/>
            <color indexed="81"/>
            <rFont val="Tahoma"/>
            <family val="2"/>
          </rPr>
          <t>Usuário:</t>
        </r>
        <r>
          <rPr>
            <sz val="9"/>
            <color indexed="81"/>
            <rFont val="Tahoma"/>
            <family val="2"/>
          </rPr>
          <t xml:space="preserve">
VERDE COM CINZA</t>
        </r>
      </text>
    </comment>
    <comment ref="H123" authorId="0" shapeId="0" xr:uid="{00000000-0006-0000-0200-000073000000}">
      <text>
        <r>
          <rPr>
            <b/>
            <sz val="9"/>
            <color indexed="81"/>
            <rFont val="Tahoma"/>
            <family val="2"/>
          </rPr>
          <t>Usuário:</t>
        </r>
        <r>
          <rPr>
            <sz val="9"/>
            <color indexed="81"/>
            <rFont val="Tahoma"/>
            <family val="2"/>
          </rPr>
          <t xml:space="preserve">
TELHA COM VERDE</t>
        </r>
      </text>
    </comment>
    <comment ref="I123" authorId="0" shapeId="0" xr:uid="{00000000-0006-0000-0200-000074000000}">
      <text>
        <r>
          <rPr>
            <b/>
            <sz val="9"/>
            <color indexed="81"/>
            <rFont val="Tahoma"/>
            <family val="2"/>
          </rPr>
          <t>Usuário:</t>
        </r>
        <r>
          <rPr>
            <sz val="9"/>
            <color indexed="81"/>
            <rFont val="Tahoma"/>
            <family val="2"/>
          </rPr>
          <t xml:space="preserve">
TELHA COM TELHA</t>
        </r>
      </text>
    </comment>
    <comment ref="J123" authorId="0" shapeId="0" xr:uid="{00000000-0006-0000-0200-000075000000}">
      <text>
        <r>
          <rPr>
            <b/>
            <sz val="9"/>
            <color indexed="81"/>
            <rFont val="Tahoma"/>
            <family val="2"/>
          </rPr>
          <t>Usuário:</t>
        </r>
        <r>
          <rPr>
            <sz val="9"/>
            <color indexed="81"/>
            <rFont val="Tahoma"/>
            <family val="2"/>
          </rPr>
          <t xml:space="preserve">
TELHA COM CINZA</t>
        </r>
      </text>
    </comment>
    <comment ref="B135" authorId="0" shapeId="0" xr:uid="{00000000-0006-0000-0200-000076000000}">
      <text>
        <r>
          <rPr>
            <b/>
            <sz val="9"/>
            <color indexed="81"/>
            <rFont val="Tahoma"/>
            <family val="2"/>
          </rPr>
          <t>Usuário:</t>
        </r>
        <r>
          <rPr>
            <sz val="9"/>
            <color indexed="81"/>
            <rFont val="Tahoma"/>
            <family val="2"/>
          </rPr>
          <t xml:space="preserve">
VERDE</t>
        </r>
      </text>
    </comment>
    <comment ref="C135" authorId="0" shapeId="0" xr:uid="{00000000-0006-0000-0200-000077000000}">
      <text>
        <r>
          <rPr>
            <b/>
            <sz val="9"/>
            <color indexed="81"/>
            <rFont val="Tahoma"/>
            <family val="2"/>
          </rPr>
          <t>Usuário:</t>
        </r>
        <r>
          <rPr>
            <sz val="9"/>
            <color indexed="81"/>
            <rFont val="Tahoma"/>
            <family val="2"/>
          </rPr>
          <t xml:space="preserve">
TELHA</t>
        </r>
      </text>
    </comment>
    <comment ref="D135" authorId="0" shapeId="0" xr:uid="{00000000-0006-0000-0200-000078000000}">
      <text>
        <r>
          <rPr>
            <b/>
            <sz val="9"/>
            <color indexed="81"/>
            <rFont val="Tahoma"/>
            <family val="2"/>
          </rPr>
          <t>Usuário:</t>
        </r>
        <r>
          <rPr>
            <sz val="9"/>
            <color indexed="81"/>
            <rFont val="Tahoma"/>
            <family val="2"/>
          </rPr>
          <t xml:space="preserve">
LARANJA</t>
        </r>
      </text>
    </comment>
    <comment ref="E135" authorId="0" shapeId="0" xr:uid="{00000000-0006-0000-0200-000079000000}">
      <text>
        <r>
          <rPr>
            <b/>
            <sz val="9"/>
            <color indexed="81"/>
            <rFont val="Tahoma"/>
            <family val="2"/>
          </rPr>
          <t>Usuário:</t>
        </r>
        <r>
          <rPr>
            <sz val="9"/>
            <color indexed="81"/>
            <rFont val="Tahoma"/>
            <family val="2"/>
          </rPr>
          <t xml:space="preserve">
VERDE COM VERDE</t>
        </r>
      </text>
    </comment>
    <comment ref="F135" authorId="0" shapeId="0" xr:uid="{00000000-0006-0000-0200-00007A000000}">
      <text>
        <r>
          <rPr>
            <b/>
            <sz val="9"/>
            <color indexed="81"/>
            <rFont val="Tahoma"/>
            <family val="2"/>
          </rPr>
          <t>Usuário:</t>
        </r>
        <r>
          <rPr>
            <sz val="9"/>
            <color indexed="81"/>
            <rFont val="Tahoma"/>
            <family val="2"/>
          </rPr>
          <t xml:space="preserve">
VERDE COM TELHA</t>
        </r>
      </text>
    </comment>
    <comment ref="G135" authorId="0" shapeId="0" xr:uid="{00000000-0006-0000-0200-00007B000000}">
      <text>
        <r>
          <rPr>
            <b/>
            <sz val="9"/>
            <color indexed="81"/>
            <rFont val="Tahoma"/>
            <family val="2"/>
          </rPr>
          <t>Usuário:</t>
        </r>
        <r>
          <rPr>
            <sz val="9"/>
            <color indexed="81"/>
            <rFont val="Tahoma"/>
            <family val="2"/>
          </rPr>
          <t xml:space="preserve">
VERDE COM CINZA</t>
        </r>
      </text>
    </comment>
    <comment ref="H135" authorId="0" shapeId="0" xr:uid="{00000000-0006-0000-0200-00007C000000}">
      <text>
        <r>
          <rPr>
            <b/>
            <sz val="9"/>
            <color indexed="81"/>
            <rFont val="Tahoma"/>
            <family val="2"/>
          </rPr>
          <t>Usuário:</t>
        </r>
        <r>
          <rPr>
            <sz val="9"/>
            <color indexed="81"/>
            <rFont val="Tahoma"/>
            <family val="2"/>
          </rPr>
          <t xml:space="preserve">
TELHA COM VERDE</t>
        </r>
      </text>
    </comment>
    <comment ref="I135" authorId="0" shapeId="0" xr:uid="{00000000-0006-0000-0200-00007D000000}">
      <text>
        <r>
          <rPr>
            <b/>
            <sz val="9"/>
            <color indexed="81"/>
            <rFont val="Tahoma"/>
            <family val="2"/>
          </rPr>
          <t>Usuário:</t>
        </r>
        <r>
          <rPr>
            <sz val="9"/>
            <color indexed="81"/>
            <rFont val="Tahoma"/>
            <family val="2"/>
          </rPr>
          <t xml:space="preserve">
TELHA COM TELHA</t>
        </r>
      </text>
    </comment>
    <comment ref="J135" authorId="0" shapeId="0" xr:uid="{00000000-0006-0000-0200-00007E000000}">
      <text>
        <r>
          <rPr>
            <b/>
            <sz val="9"/>
            <color indexed="81"/>
            <rFont val="Tahoma"/>
            <family val="2"/>
          </rPr>
          <t>Usuário:</t>
        </r>
        <r>
          <rPr>
            <sz val="9"/>
            <color indexed="81"/>
            <rFont val="Tahoma"/>
            <family val="2"/>
          </rPr>
          <t xml:space="preserve">
TELHA COM CINZA</t>
        </r>
      </text>
    </comment>
  </commentList>
</comments>
</file>

<file path=xl/sharedStrings.xml><?xml version="1.0" encoding="utf-8"?>
<sst xmlns="http://schemas.openxmlformats.org/spreadsheetml/2006/main" count="1933" uniqueCount="793">
  <si>
    <t>COMISSÃO DE ORÇAMENTO E FINANCIAMENTO DO CONSELHO NACIONAL DA SAÚDE (Cofin/CNS) - ANÁLISE DO RAG 2019 - METAS DA PAS 2019 E DO PLANO NACIONAL DE SAÚDE 2016-2019</t>
  </si>
  <si>
    <t>Objetivo 01. Ampliar e qualificar o acesso aos serviços de saúde, em tempo adequado, com ênfase na humanização, equidade e no atendimento das necessidades de saúde, aprimorando a política de atenção básica e especializada, ambulatorial e hospitalar.</t>
  </si>
  <si>
    <t>RELATÓRIO ANUAL DE GESTÃO (RAG) 2019 DO MINISTÉRIO DA SAÚDE</t>
  </si>
  <si>
    <t>ANÁLISE COFIN/CNS PARA PARECER CONCLUSIVO DO RAG 2019</t>
  </si>
  <si>
    <t>Metas PNS</t>
  </si>
  <si>
    <t>Produto / Unidade de Medida</t>
  </si>
  <si>
    <t>Meta Física</t>
  </si>
  <si>
    <t>PNS - Meta Física Consolidação 2016-2019</t>
  </si>
  <si>
    <t>Programação Anual de Saúde (PAS) - Meta Física</t>
  </si>
  <si>
    <t>Observação</t>
  </si>
  <si>
    <t>Ação Orçamentária com PO (Fonte: RQPC 3ºquad.2019)</t>
  </si>
  <si>
    <t>PNS 2016 - 2019</t>
  </si>
  <si>
    <t>PAS 2016</t>
  </si>
  <si>
    <t>PAS 2017</t>
  </si>
  <si>
    <t>PAS 2018</t>
  </si>
  <si>
    <t>PAS 2019</t>
  </si>
  <si>
    <t>Análise do Cumprimento da Meta Quadrienal</t>
  </si>
  <si>
    <t>Análise Anual - 2019</t>
  </si>
  <si>
    <t>Prevista</t>
  </si>
  <si>
    <t>Realizada</t>
  </si>
  <si>
    <t>Absoluta</t>
  </si>
  <si>
    <t>Relativa</t>
  </si>
  <si>
    <t>Realizado 2019 x Realizado 2018</t>
  </si>
  <si>
    <t>Realizado 2019 x Previsto 2019</t>
  </si>
  <si>
    <r>
      <t>1.</t>
    </r>
    <r>
      <rPr>
        <sz val="10"/>
        <color theme="1"/>
        <rFont val="Times New Roman"/>
        <family val="1"/>
      </rPr>
      <t xml:space="preserve">        </t>
    </r>
    <r>
      <rPr>
        <sz val="10"/>
        <color theme="1"/>
        <rFont val="Calibri"/>
        <family val="2"/>
      </rPr>
      <t>Ampliar o número de equipes da Estratégia Saúde da Família e Atenção Básica para 46 mil.</t>
    </r>
  </si>
  <si>
    <t>Equipe de Saúde da Família e Atenção Básica apoiada [1] (unidade)</t>
  </si>
  <si>
    <t>43.217[2]</t>
  </si>
  <si>
    <t>superior a 2018</t>
  </si>
  <si>
    <t>219A (PO 0001)</t>
  </si>
  <si>
    <r>
      <t>2.</t>
    </r>
    <r>
      <rPr>
        <sz val="10"/>
        <color theme="1"/>
        <rFont val="Times New Roman"/>
        <family val="1"/>
      </rPr>
      <t xml:space="preserve">        </t>
    </r>
    <r>
      <rPr>
        <sz val="10"/>
        <color theme="1"/>
        <rFont val="Calibri"/>
        <family val="2"/>
      </rPr>
      <t>Ampliar o número de equipes do Núcleo de Apoio à Saúde da Família - NASF para 6.500.</t>
    </r>
  </si>
  <si>
    <t>Equipe do Núcleo Ampliado de Saúde da Família e Atenção Básica (NASF-AB) apoiado (unidade)</t>
  </si>
  <si>
    <t>inferior a 2018</t>
  </si>
  <si>
    <r>
      <t>3.</t>
    </r>
    <r>
      <rPr>
        <sz val="10"/>
        <color theme="1"/>
        <rFont val="Times New Roman"/>
        <family val="1"/>
      </rPr>
      <t xml:space="preserve">        </t>
    </r>
    <r>
      <rPr>
        <sz val="10"/>
        <color theme="1"/>
        <rFont val="Calibri"/>
        <family val="2"/>
      </rPr>
      <t>Ampliar o acesso à atenção odontológica na atenção básica, passando para 29 mil equipes de saúde bucal implantadas.</t>
    </r>
  </si>
  <si>
    <t>Equipe de Saúde Bucal na Estratégia Saúde da Família apoiada (unidade)</t>
  </si>
  <si>
    <r>
      <t>4.</t>
    </r>
    <r>
      <rPr>
        <sz val="10"/>
        <color theme="1"/>
        <rFont val="Times New Roman"/>
        <family val="1"/>
      </rPr>
      <t xml:space="preserve">        </t>
    </r>
    <r>
      <rPr>
        <sz val="10"/>
        <color theme="1"/>
        <rFont val="Calibri"/>
        <family val="2"/>
      </rPr>
      <t>Implantar 684 novas equipes de atenção domiciliar, sendo 432 novas Equipes Multiprofissionais de Atenção Domiciliar (EMAD) e 252 novas Equipes Multiprofissionais de Apoio (EMAP).</t>
    </r>
  </si>
  <si>
    <t>Equipe de Atenção Domiciliar custeada (unidade)</t>
  </si>
  <si>
    <t>94[3]</t>
  </si>
  <si>
    <t>?</t>
  </si>
  <si>
    <t>8585 (PO 0000)</t>
  </si>
  <si>
    <r>
      <t>5.</t>
    </r>
    <r>
      <rPr>
        <sz val="10"/>
        <color theme="1"/>
        <rFont val="Times New Roman"/>
        <family val="1"/>
      </rPr>
      <t xml:space="preserve">        </t>
    </r>
    <r>
      <rPr>
        <sz val="10"/>
        <color theme="1"/>
        <rFont val="Calibri"/>
        <family val="2"/>
      </rPr>
      <t>Ampliar a cobertura da atenção básica à saúde das pessoas privadas de liberdade no sistema prisional.</t>
    </r>
  </si>
  <si>
    <t>Equipe de Atenção Básica Prisional Constituída (unidade)[4]</t>
  </si>
  <si>
    <r>
      <t>6.</t>
    </r>
    <r>
      <rPr>
        <sz val="10"/>
        <color theme="1"/>
        <rFont val="Times New Roman"/>
        <family val="1"/>
      </rPr>
      <t xml:space="preserve">        </t>
    </r>
    <r>
      <rPr>
        <sz val="10"/>
        <color theme="1"/>
        <rFont val="Calibri"/>
        <family val="2"/>
      </rPr>
      <t>Alcançar 20.335 médicos brasileiros e estrangeiros atuando em regiões prioritárias para o SUS, por meio do Programa Mais Médicos e do Programa de Valorização dos Profissionais da Atenção Básica – PROVAB.</t>
    </r>
  </si>
  <si>
    <t>Médico alocado (unidade)</t>
  </si>
  <si>
    <t>16.001[5]</t>
  </si>
  <si>
    <t>214U (PO 000A) 214U (PO 000B)</t>
  </si>
  <si>
    <r>
      <t>7.</t>
    </r>
    <r>
      <rPr>
        <sz val="10"/>
        <color theme="1"/>
        <rFont val="Times New Roman"/>
        <family val="1"/>
      </rPr>
      <t xml:space="preserve">        </t>
    </r>
    <r>
      <rPr>
        <sz val="10"/>
        <color theme="1"/>
        <rFont val="Calibri"/>
        <family val="2"/>
      </rPr>
      <t>Avaliar e certificar a qualidade de 40 mil equipes de atenção básica no Programa Nacional de Melhoria do Acesso e da Qualidade da Atenção Básica (PMAQ-AB).</t>
    </r>
  </si>
  <si>
    <t>Equipe de Atenção Básica avaliada e certificada (unidade)</t>
  </si>
  <si>
    <t>34.774[6]</t>
  </si>
  <si>
    <r>
      <t>8.</t>
    </r>
    <r>
      <rPr>
        <sz val="10"/>
        <color theme="1"/>
        <rFont val="Times New Roman"/>
        <family val="1"/>
      </rPr>
      <t xml:space="preserve">        </t>
    </r>
    <r>
      <rPr>
        <sz val="10"/>
        <color theme="1"/>
        <rFont val="Calibri"/>
        <family val="2"/>
      </rPr>
      <t>Acompanhar na Atenção Básica pelo menos 73% de famílias beneficiárias do Programa Bolsa Família com as condicionalidades de saúde</t>
    </r>
  </si>
  <si>
    <t>Indivíduo beneficiado do PBF acompanhado (percentual)</t>
  </si>
  <si>
    <t>75,55%[7]</t>
  </si>
  <si>
    <t>3 pontos percentuais positivos</t>
  </si>
  <si>
    <t>0,5 ponto percentual superior ao previsto</t>
  </si>
  <si>
    <t>Não se aplica</t>
  </si>
  <si>
    <r>
      <t>9.</t>
    </r>
    <r>
      <rPr>
        <sz val="10"/>
        <color theme="1"/>
        <rFont val="Times New Roman"/>
        <family val="1"/>
      </rPr>
      <t xml:space="preserve">        </t>
    </r>
    <r>
      <rPr>
        <sz val="10"/>
        <color theme="1"/>
        <rFont val="Calibri"/>
        <family val="2"/>
      </rPr>
      <t>Aumentar de 18 para 20,7 milhões o número de educandos cobertos pelo Programa Saúde na Escola (PSE).</t>
    </r>
  </si>
  <si>
    <t>Educando da rede pública de ensino (educação básica) coberto pelo PSE (unidade)</t>
  </si>
  <si>
    <r>
      <t>10.</t>
    </r>
    <r>
      <rPr>
        <sz val="10"/>
        <color theme="1"/>
        <rFont val="Times New Roman"/>
        <family val="1"/>
      </rPr>
      <t xml:space="preserve">     </t>
    </r>
    <r>
      <rPr>
        <sz val="10"/>
        <color theme="1"/>
        <rFont val="Calibri"/>
        <family val="2"/>
      </rPr>
      <t>Ampliar em 5.994 o número de leitos, sendo 4.080 novos leitos de UTI Adulto, Pediátrico, Neonatal e Unidade Coronariana (UCO) e 1.914 leitos de UCI Convencional e Canguru no SUS, em todas as regiões do País.</t>
    </r>
  </si>
  <si>
    <t>Leito disponibilizado (unidade)[8]</t>
  </si>
  <si>
    <t>1.424[9]</t>
  </si>
  <si>
    <r>
      <t>11.</t>
    </r>
    <r>
      <rPr>
        <sz val="10"/>
        <color theme="1"/>
        <rFont val="Times New Roman"/>
        <family val="1"/>
      </rPr>
      <t xml:space="preserve">     </t>
    </r>
    <r>
      <rPr>
        <sz val="10"/>
        <color theme="1"/>
        <rFont val="Calibri"/>
        <family val="2"/>
      </rPr>
      <t>Aumentar em 4% ao ano o Índice de Transplantes de Órgãos Sólidos por milhão da população (pmp), passando de 37,95 pmp para 44,14 pmp.</t>
    </r>
  </si>
  <si>
    <t>Índice aferido de Transplantes de Órgãos realizados por milhão de população (pmp)</t>
  </si>
  <si>
    <t>41,05 pmp</t>
  </si>
  <si>
    <t>38,65 pmp</t>
  </si>
  <si>
    <t>42,69 pmp</t>
  </si>
  <si>
    <t>41,92 pmp</t>
  </si>
  <si>
    <t>44,40 pmp</t>
  </si>
  <si>
    <t>42,46 pmp</t>
  </si>
  <si>
    <t>44,14 pmp</t>
  </si>
  <si>
    <t xml:space="preserve"> 44,34 pmp[10]</t>
  </si>
  <si>
    <t>ok</t>
  </si>
  <si>
    <t>20SP</t>
  </si>
  <si>
    <r>
      <t>12.</t>
    </r>
    <r>
      <rPr>
        <sz val="10"/>
        <color theme="1"/>
        <rFont val="Times New Roman"/>
        <family val="1"/>
      </rPr>
      <t xml:space="preserve">     </t>
    </r>
    <r>
      <rPr>
        <sz val="10"/>
        <color theme="1"/>
        <rFont val="Calibri"/>
        <family val="2"/>
      </rPr>
      <t>Aumentar em 4% ao ano o Índice de Doadores Efetivos de Órgãos por milhão da população (pmp), passando de 13,36 pmp para 16,25 pmp.</t>
    </r>
  </si>
  <si>
    <t>Índice aferido de Doadores Efetivos de órgãos por milhão da população (pmp)</t>
  </si>
  <si>
    <t>14,45 pmp</t>
  </si>
  <si>
    <t>14,60 pmp</t>
  </si>
  <si>
    <t>15,03 pmp</t>
  </si>
  <si>
    <t>16,59 pmp</t>
  </si>
  <si>
    <t>15,62 pmp</t>
  </si>
  <si>
    <t>17 pmp</t>
  </si>
  <si>
    <t>16,25 pmp</t>
  </si>
  <si>
    <t>18,06 pmp[11]</t>
  </si>
  <si>
    <r>
      <t>13.</t>
    </r>
    <r>
      <rPr>
        <sz val="10"/>
        <color theme="1"/>
        <rFont val="Times New Roman"/>
        <family val="1"/>
      </rPr>
      <t xml:space="preserve">     </t>
    </r>
    <r>
      <rPr>
        <sz val="10"/>
        <color theme="1"/>
        <rFont val="Calibri"/>
        <family val="2"/>
      </rPr>
      <t>Disponibilizar teste de ácido nucléico - NAT brasileiro para HIV / HCV / HBV para 100% das doações de sangue realizadas no âmbito do SUS.</t>
    </r>
  </si>
  <si>
    <t>Teste NAT nacional disponibilizado (percentual)</t>
  </si>
  <si>
    <t>10 pontos percentuais negativos</t>
  </si>
  <si>
    <r>
      <t>14.</t>
    </r>
    <r>
      <rPr>
        <sz val="10"/>
        <color theme="1"/>
        <rFont val="Times New Roman"/>
        <family val="1"/>
      </rPr>
      <t xml:space="preserve">     </t>
    </r>
    <r>
      <rPr>
        <sz val="10"/>
        <color theme="1"/>
        <rFont val="Calibri"/>
        <family val="2"/>
      </rPr>
      <t>Aumentar de 20 para 150 as Centrais de Regulação que recebem incentivo federal de custeio para a melhoria do acesso aos serviços ambulatoriais especializados e hospitalares.</t>
    </r>
  </si>
  <si>
    <t>Central de Regulação custeada (unidade)[12]</t>
  </si>
  <si>
    <t>0[13]</t>
  </si>
  <si>
    <t>2[14]</t>
  </si>
  <si>
    <r>
      <t>15.</t>
    </r>
    <r>
      <rPr>
        <sz val="10"/>
        <color theme="1"/>
        <rFont val="Times New Roman"/>
        <family val="1"/>
      </rPr>
      <t xml:space="preserve">     </t>
    </r>
    <r>
      <rPr>
        <sz val="10"/>
        <color theme="1"/>
        <rFont val="Calibri"/>
        <family val="2"/>
      </rPr>
      <t>Custear a conectividade de banda larga de 19 mil Unidades Básicas de Saúde.</t>
    </r>
  </si>
  <si>
    <t>Unidade Básica de Saúde com conectividade custeada (unidade)</t>
  </si>
  <si>
    <t>-</t>
  </si>
  <si>
    <t>0[15]</t>
  </si>
  <si>
    <t>ZERO</t>
  </si>
  <si>
    <t>219A (PO 0004)</t>
  </si>
  <si>
    <r>
      <t>16.</t>
    </r>
    <r>
      <rPr>
        <sz val="10"/>
        <color theme="1"/>
        <rFont val="Times New Roman"/>
        <family val="1"/>
      </rPr>
      <t xml:space="preserve">     </t>
    </r>
    <r>
      <rPr>
        <sz val="10"/>
        <color theme="1"/>
        <rFont val="Calibri"/>
        <family val="2"/>
      </rPr>
      <t>Garantir 14 mil Unidades Básicas de Saúde utilizando prontuário eletrônico.</t>
    </r>
  </si>
  <si>
    <t>Unidades Básicas de Saúde com Prontuário Eletrônico implantado (unidade)</t>
  </si>
  <si>
    <t>2E79</t>
  </si>
  <si>
    <r>
      <t>17.</t>
    </r>
    <r>
      <rPr>
        <sz val="10"/>
        <color theme="1"/>
        <rFont val="Times New Roman"/>
        <family val="1"/>
      </rPr>
      <t xml:space="preserve">     </t>
    </r>
    <r>
      <rPr>
        <sz val="10"/>
        <color theme="1"/>
        <rFont val="Calibri"/>
        <family val="2"/>
      </rPr>
      <t>Implementar brinquedotecas em todos os hospitais federais que realizem atendimento pediátrico em regime de internação, em cumprimento da lei nº 11.104/2008</t>
    </r>
  </si>
  <si>
    <t>Brinquedotecas implementadas (unidade)</t>
  </si>
  <si>
    <t>0[16]</t>
  </si>
  <si>
    <t>20YI (PO 0003)</t>
  </si>
  <si>
    <r>
      <t>18.</t>
    </r>
    <r>
      <rPr>
        <sz val="10"/>
        <color theme="1"/>
        <rFont val="Times New Roman"/>
        <family val="1"/>
      </rPr>
      <t xml:space="preserve">     </t>
    </r>
    <r>
      <rPr>
        <sz val="10"/>
        <color theme="1"/>
        <rFont val="Calibri"/>
        <family val="2"/>
      </rPr>
      <t>Apoiar a construção, reforma e ampliação de mais 11.000 obras do Programa de Requalificação de UBS – RequalificaUBS.</t>
    </r>
  </si>
  <si>
    <t>Unidade Básica de Saúde com obra concluída (unidade)[17]</t>
  </si>
  <si>
    <t>1.486[18]</t>
  </si>
  <si>
    <t>12L5 8581</t>
  </si>
  <si>
    <r>
      <t>19.</t>
    </r>
    <r>
      <rPr>
        <sz val="10"/>
        <color theme="1"/>
        <rFont val="Times New Roman"/>
        <family val="1"/>
      </rPr>
      <t xml:space="preserve">     </t>
    </r>
    <r>
      <rPr>
        <sz val="10"/>
        <color theme="1"/>
        <rFont val="Calibri"/>
        <family val="2"/>
      </rPr>
      <t>Implantar 430 novos Centros de Especialidades Odontológicas - CEOs.</t>
    </r>
  </si>
  <si>
    <t>Centro de Especialidade Odontológica em funcionamento (unidade)</t>
  </si>
  <si>
    <t>38[19]</t>
  </si>
  <si>
    <t>219A (PO 0003)</t>
  </si>
  <si>
    <r>
      <t>20.</t>
    </r>
    <r>
      <rPr>
        <sz val="10"/>
        <color theme="1"/>
        <rFont val="Times New Roman"/>
        <family val="1"/>
      </rPr>
      <t xml:space="preserve">     </t>
    </r>
    <r>
      <rPr>
        <sz val="10"/>
        <color theme="1"/>
        <rFont val="Calibri"/>
        <family val="2"/>
      </rPr>
      <t>Implantar 650 novos Laboratórios Regionais de Próteses Dentárias.</t>
    </r>
  </si>
  <si>
    <t>Laboratório Regional de Prótese Dentária implantado (unidade)</t>
  </si>
  <si>
    <t>71[20]</t>
  </si>
  <si>
    <t>[1] Alterado de “equipe custeada” para “equipe apoiada”.</t>
  </si>
  <si>
    <t>[2] Dado revisado.</t>
  </si>
  <si>
    <t>[3] Até novembro de 2019 existiam 1.185 equipes (770 EMAD e 415 EMAP), das quais 94 (69 EMAD e 25 EMAP) entraram em funcionamento neste ano. Foram 267 equipes custeadas no quadriênio.</t>
  </si>
  <si>
    <t>[4] Entende-se por equipe de Atenção Básica Prisional constituída aquela em funcionamento regular, ou seja, com Portaria de habilitação publicada pelo Ministério da Saúde, devidamente cadastrada no CNES e que faz jus ao recebimento do incentivo financeiro federal de custeio na respectiva competência financeira, de acordo com a norma vigente.</t>
  </si>
  <si>
    <t>[5] Devido ao encerramento unilateral do acordo entre o Governo da República de Cuba e a Organização Pan-Americana da Saúde/Organização Mundial da Saúde (OPAS/OMS), houve uma redução do número de vagas com profissionais alocados.</t>
  </si>
  <si>
    <t>[6] Equipes avaliadas e certificadas no 3º ciclo do PMAQ.</t>
  </si>
  <si>
    <t>[7] Revisado de acordo com os dados da segunda vigência de 2018.</t>
  </si>
  <si>
    <t>[8] Redação alterada de “leito habilitado” para “leito disponibilizado”.</t>
  </si>
  <si>
    <t>[9] Em 2019, foram habilitados 1.424 novos leitos, sendo 1.030 de UTI (687 Adulto, 142 Pediátrico, 42 Coronariana, e 159 neonatal) e 394 leitos de UCIN (287 UCINCo e 107 UCINCa)</t>
  </si>
  <si>
    <t>[10] O índice utilizado representa a relação entre o número total de transplantes de órgãos realizados no ano (coração, fígado, rim, pâncreas e pulmão), dividido pela população nacional estimada pelo IBGE do ano anterior, multiplicado por 1.000.000. Dessa forma, tem-se o índice Apurado = 9.246/ 208.494.900) x 1.000.000 = 43,96 (pmp). Dados de anos anteriores revisados.</t>
  </si>
  <si>
    <t>[11] O índice representa a relação entre o número total de Doadores Efetivos de órgãos no ano, dividido pela população nacional estimada pelo IBGE do ano anterior, multiplicado por 1.000.000. Dessa forma, tem-se o índice Apurado = (3.767/ 208.494.900) x 1.000.000 = 17,89 (pmp). Dados de anos anteriores revisados.</t>
  </si>
  <si>
    <t>[12] Produto alterado de “Central de regulação habilitada” para “Central de regulação custeada”.</t>
  </si>
  <si>
    <t xml:space="preserve">[13] O alcance do resultado planejado foi comprometido pela necessidade de alteração da portaria que regulamenta a transferência do recurso em questão (Portaria n. 1792/2012/GM/MS). A minuta da nova portaria foi pactuada em reunião ordinária da CIT, e está, em análise na Consultoria Jurídica junto ao MS (CONJUR-MS). Em função da pactuação da nova portaria, não foram habilitadas novas centrais em 2018. </t>
  </si>
  <si>
    <t>[14] Até 2015, havia 45 Centrais de Regulação. No período de 2016 a 2019, com a qualificação de 10 centrais, o Ministério da Saúde mantém de forma complementar o repasse dos recursos de custeio para 55 centrais de regulação. Sendo 26 centrais de regulação ambulatoriais e 29 centrais de regulação hospitalares.</t>
  </si>
  <si>
    <t>[15] O serviço de internet banda larga dos pontos concedidos pelo Plano Nacional de Banda Larga foi interrompido em setembro de 2016, devido ao encerramento do Contrato Administrativo nº 75/2014, firmado entre o Ministério da Saúde e o 'CONSÓRCIO CONECTA BRASIL II', constituído pelas empresas OIS/A, OI MOVELS/A, EMPRESA BRASILEIRA DE TELECOMUNICAÇÕES S/A - EMBRATEL/CLARO S/A e TELEFÔNICADO BRASIL S/A. As empresas foram notificadas sobre o encerramento e já estão autorizadas a realizar a desativação e a retirada dos equipamentos. O Ministério da Saúde está em busca de novas possibilidades para proporcionar novamente o serviço de conexão às regiões de saúde.</t>
  </si>
  <si>
    <t>[16] Conforme parecer da ASJUR não é possível realizar o repasse de recurso pela ação orçamentária 20YI PO 0003 para esses hospitais de forma direta, pois depende de repasse de recurso através do Programa Nacional de Reestruturação dos Hospitais Universitários Federais (REHUF) criado por meio do Decreto nº 7.082, de 27 de janeiro de 2010 (define diretrizes e objetivos para a reestruturação e revitalização dos hospitais universitários federais, integrados ao Sistema Único de Saúde -SUS).</t>
  </si>
  <si>
    <t>[17] Produto alterado de “Número de UBS construída/ampliada/reformada” para “Número de UBS com obra concluída”.</t>
  </si>
  <si>
    <t>[18] Até dezembro foram concluídas 1.486 obras, sendo 713 construções, 427 ampliações e 346 reformas, ultrapassando o total previsto de execução da meta.</t>
  </si>
  <si>
    <t>[19] Dado revisado.</t>
  </si>
  <si>
    <t>[20] Dado revisado.</t>
  </si>
  <si>
    <t>Objetivo 02. Aprimorar e implantar as Redes de Atenção à Saúde nas regiões de saúde, com ênfase na articulação da Rede de Urgência e Emergência, Rede Cegonha, Rede de Atenção Psicossocial, Rede de Cuidados à Pessoa com Deficiência, e da Rede de Atenção à Saúde das Pessoas com Doenças Crônicas.</t>
  </si>
  <si>
    <r>
      <t>1.</t>
    </r>
    <r>
      <rPr>
        <sz val="7"/>
        <color theme="1"/>
        <rFont val="Times New Roman"/>
        <family val="1"/>
      </rPr>
      <t xml:space="preserve">        </t>
    </r>
    <r>
      <rPr>
        <sz val="9"/>
        <color theme="1"/>
        <rFont val="Calibri"/>
        <family val="2"/>
      </rPr>
      <t>Ampliar o acesso à Triagem Auditiva Neonatal por meio da equipagem de 737 maternidades no país, passando de 75 para 812 maternidades equipadas em funcionamento, no âmbito do Programa Viver sem Limites.</t>
    </r>
  </si>
  <si>
    <t>Maternidade equipada em funcionamento (unidade)</t>
  </si>
  <si>
    <t>0[1]</t>
  </si>
  <si>
    <t>8535 (PO 0004)</t>
  </si>
  <si>
    <r>
      <t>2.</t>
    </r>
    <r>
      <rPr>
        <sz val="7"/>
        <color theme="1"/>
        <rFont val="Times New Roman"/>
        <family val="1"/>
      </rPr>
      <t xml:space="preserve">        </t>
    </r>
    <r>
      <rPr>
        <sz val="9"/>
        <color theme="1"/>
        <rFont val="Calibri"/>
        <family val="2"/>
      </rPr>
      <t>Ampliar de 166 mil para 182 mil o número de recém-nascidos beneficiados ao ano pelo Programa de Bancos de Leite Humano no Brasil.</t>
    </r>
  </si>
  <si>
    <t>Recém-nascido beneficiado (unidade)</t>
  </si>
  <si>
    <t>214.264[2]</t>
  </si>
  <si>
    <r>
      <t>3.</t>
    </r>
    <r>
      <rPr>
        <sz val="7"/>
        <color theme="1"/>
        <rFont val="Times New Roman"/>
        <family val="1"/>
      </rPr>
      <t xml:space="preserve">        </t>
    </r>
    <r>
      <rPr>
        <sz val="9"/>
        <color theme="1"/>
        <rFont val="Calibri"/>
        <family val="2"/>
      </rPr>
      <t>Habilitar 140 novos serviços como Maternidade de Referência para Atenção à Gestação de Alto Risco (GAR).</t>
    </r>
  </si>
  <si>
    <t>Serviço de maternidade habilitado (unidade)</t>
  </si>
  <si>
    <t>19[3]</t>
  </si>
  <si>
    <r>
      <t>4.</t>
    </r>
    <r>
      <rPr>
        <sz val="7"/>
        <color theme="1"/>
        <rFont val="Times New Roman"/>
        <family val="1"/>
      </rPr>
      <t xml:space="preserve">        </t>
    </r>
    <r>
      <rPr>
        <sz val="9"/>
        <color theme="1"/>
        <rFont val="Calibri"/>
        <family val="2"/>
      </rPr>
      <t>Adequar a ambiência de 120 maternidades (reforma e aquisição de equipamentos) para a atenção humanizada ao parto e nascimento.</t>
    </r>
  </si>
  <si>
    <t>Maternidade com ambiência adequada (unidade)</t>
  </si>
  <si>
    <t>6[4]</t>
  </si>
  <si>
    <t>8535 (PO 000C)</t>
  </si>
  <si>
    <r>
      <t>5.</t>
    </r>
    <r>
      <rPr>
        <sz val="7"/>
        <color theme="1"/>
        <rFont val="Times New Roman"/>
        <family val="1"/>
      </rPr>
      <t xml:space="preserve">        </t>
    </r>
    <r>
      <rPr>
        <sz val="9"/>
        <color theme="1"/>
        <rFont val="Calibri"/>
        <family val="2"/>
      </rPr>
      <t>Implantar 20 novas Casas de Gestante, Bebê e Puérpera - CGBP.</t>
    </r>
  </si>
  <si>
    <t>CGBP implantada (unidade)</t>
  </si>
  <si>
    <t>9[5]</t>
  </si>
  <si>
    <t>8535 (PO 000C) 8585 (PO 0000)</t>
  </si>
  <si>
    <r>
      <t>6.</t>
    </r>
    <r>
      <rPr>
        <sz val="7"/>
        <color theme="1"/>
        <rFont val="Times New Roman"/>
        <family val="1"/>
      </rPr>
      <t xml:space="preserve">        </t>
    </r>
    <r>
      <rPr>
        <sz val="9"/>
        <color theme="1"/>
        <rFont val="Calibri"/>
        <family val="2"/>
      </rPr>
      <t>Implantar 60 novos Centros de Parto Normal – CPN.</t>
    </r>
  </si>
  <si>
    <r>
      <t xml:space="preserve">Centro de Parto Normal implantado </t>
    </r>
    <r>
      <rPr>
        <sz val="9"/>
        <color rgb="FF000000"/>
        <rFont val="Calibri"/>
        <family val="2"/>
      </rPr>
      <t>(unidade)</t>
    </r>
  </si>
  <si>
    <t>2[6]</t>
  </si>
  <si>
    <t>igual 2018</t>
  </si>
  <si>
    <r>
      <t>7.</t>
    </r>
    <r>
      <rPr>
        <sz val="7"/>
        <color theme="1"/>
        <rFont val="Times New Roman"/>
        <family val="1"/>
      </rPr>
      <t xml:space="preserve">        </t>
    </r>
    <r>
      <rPr>
        <sz val="9"/>
        <color theme="1"/>
        <rFont val="Calibri"/>
        <family val="2"/>
      </rPr>
      <t>Realizar 12,5 milhões de mamografias bilaterais para rastreamento do câncer de mama em mulheres de 50-69 anos.</t>
    </r>
  </si>
  <si>
    <t>Mamografia realizada (unidade)</t>
  </si>
  <si>
    <t>2.253.068[7]</t>
  </si>
  <si>
    <r>
      <t>8.</t>
    </r>
    <r>
      <rPr>
        <sz val="7"/>
        <color theme="1"/>
        <rFont val="Times New Roman"/>
        <family val="1"/>
      </rPr>
      <t xml:space="preserve">        </t>
    </r>
    <r>
      <rPr>
        <sz val="9"/>
        <color theme="1"/>
        <rFont val="Calibri"/>
        <family val="2"/>
      </rPr>
      <t>Realizar 30 milhões de exames citopatológicos para rastreamento do câncer de colo do útero em mulheres de 25-64 anos.</t>
    </r>
  </si>
  <si>
    <t>Exame citopatológico realizado (unidade)</t>
  </si>
  <si>
    <t>6.165.258[8]</t>
  </si>
  <si>
    <r>
      <t>9.</t>
    </r>
    <r>
      <rPr>
        <sz val="7"/>
        <color theme="1"/>
        <rFont val="Times New Roman"/>
        <family val="1"/>
      </rPr>
      <t xml:space="preserve">        </t>
    </r>
    <r>
      <rPr>
        <sz val="9"/>
        <color theme="1"/>
        <rFont val="Calibri"/>
        <family val="2"/>
      </rPr>
      <t>Implantar 80 soluções de radioterapia contempladas no Plano de Expansão da Radioterapia.</t>
    </r>
  </si>
  <si>
    <t>Solução de radioterapia implantada (unidade)</t>
  </si>
  <si>
    <t>21[9]</t>
  </si>
  <si>
    <t>8535 (PO 0007)</t>
  </si>
  <si>
    <r>
      <t>10.</t>
    </r>
    <r>
      <rPr>
        <sz val="7"/>
        <color theme="1"/>
        <rFont val="Times New Roman"/>
        <family val="1"/>
      </rPr>
      <t xml:space="preserve">     </t>
    </r>
    <r>
      <rPr>
        <sz val="9"/>
        <color theme="1"/>
        <rFont val="Calibri"/>
        <family val="2"/>
      </rPr>
      <t>Apoiar a implantação de 175 UPA 24h.</t>
    </r>
  </si>
  <si>
    <t>UPA em funcionamento (unidade)</t>
  </si>
  <si>
    <r>
      <t>11.</t>
    </r>
    <r>
      <rPr>
        <sz val="7"/>
        <color theme="1"/>
        <rFont val="Times New Roman"/>
        <family val="1"/>
      </rPr>
      <t xml:space="preserve">     </t>
    </r>
    <r>
      <rPr>
        <sz val="9"/>
        <color theme="1"/>
        <rFont val="Calibri"/>
        <family val="2"/>
      </rPr>
      <t>Ampliar em 2.400 o número de beneficiários do Programa de Volta para Casa - PVC, passando de 4.364 para 6.764.</t>
    </r>
  </si>
  <si>
    <t>Pessoa beneficiada (unidade)</t>
  </si>
  <si>
    <t>288[10]</t>
  </si>
  <si>
    <t>20AI</t>
  </si>
  <si>
    <r>
      <t>12.</t>
    </r>
    <r>
      <rPr>
        <sz val="7"/>
        <color theme="1"/>
        <rFont val="Times New Roman"/>
        <family val="1"/>
      </rPr>
      <t xml:space="preserve">     </t>
    </r>
    <r>
      <rPr>
        <sz val="9"/>
        <color theme="1"/>
        <rFont val="Calibri"/>
        <family val="2"/>
      </rPr>
      <t>Apoiar a implantação de 160 equipes de Consultório na Rua.</t>
    </r>
  </si>
  <si>
    <r>
      <t>Equipe de Consultório na Rua</t>
    </r>
    <r>
      <rPr>
        <sz val="9"/>
        <color rgb="FF000000"/>
        <rFont val="Calibri"/>
        <family val="2"/>
      </rPr>
      <t xml:space="preserve"> </t>
    </r>
    <r>
      <rPr>
        <sz val="9"/>
        <rFont val="Calibri"/>
        <family val="2"/>
      </rPr>
      <t xml:space="preserve">apoiada </t>
    </r>
    <r>
      <rPr>
        <sz val="9"/>
        <color rgb="FF000000"/>
        <rFont val="Calibri"/>
        <family val="2"/>
      </rPr>
      <t>(unidade)</t>
    </r>
  </si>
  <si>
    <r>
      <t>13.</t>
    </r>
    <r>
      <rPr>
        <sz val="7"/>
        <color theme="1"/>
        <rFont val="Times New Roman"/>
        <family val="1"/>
      </rPr>
      <t xml:space="preserve">     </t>
    </r>
    <r>
      <rPr>
        <sz val="9"/>
        <color theme="1"/>
        <rFont val="Calibri"/>
        <family val="2"/>
      </rPr>
      <t>Apoiar a implantação de 37 Unidades de Acolhimento Infanto-Juvenil - UAI.</t>
    </r>
  </si>
  <si>
    <t>Unidade de acolhimento infanto-juvenil (UAI) implantada (unidade)</t>
  </si>
  <si>
    <t>2[11]</t>
  </si>
  <si>
    <t>20YI (PO 000J) 8585 (PO 0000)</t>
  </si>
  <si>
    <r>
      <t>14.</t>
    </r>
    <r>
      <rPr>
        <sz val="7"/>
        <color theme="1"/>
        <rFont val="Times New Roman"/>
        <family val="1"/>
      </rPr>
      <t xml:space="preserve">     </t>
    </r>
    <r>
      <rPr>
        <sz val="9"/>
        <color theme="1"/>
        <rFont val="Calibri"/>
        <family val="2"/>
      </rPr>
      <t>Apoiar a implantação de 28 unidades de acolhimento adulto</t>
    </r>
  </si>
  <si>
    <t>Unidade de acolhimento adulto implantada (unidade)</t>
  </si>
  <si>
    <t>2[12]</t>
  </si>
  <si>
    <r>
      <t>15.</t>
    </r>
    <r>
      <rPr>
        <sz val="7"/>
        <color theme="1"/>
        <rFont val="Times New Roman"/>
        <family val="1"/>
      </rPr>
      <t xml:space="preserve">     </t>
    </r>
    <r>
      <rPr>
        <sz val="9"/>
        <color theme="1"/>
        <rFont val="Calibri"/>
        <family val="2"/>
      </rPr>
      <t>Incentivar a implantação de 480 Centros de Atenção Psicossocial (CAPS).</t>
    </r>
  </si>
  <si>
    <t>CAPS implantado (unidade)</t>
  </si>
  <si>
    <t>75[13]</t>
  </si>
  <si>
    <r>
      <t>16.</t>
    </r>
    <r>
      <rPr>
        <sz val="7"/>
        <color theme="1"/>
        <rFont val="Times New Roman"/>
        <family val="1"/>
      </rPr>
      <t xml:space="preserve">     </t>
    </r>
    <r>
      <rPr>
        <sz val="9"/>
        <color theme="1"/>
        <rFont val="Calibri"/>
        <family val="2"/>
      </rPr>
      <t>Apoiar a construção de 80 Centros de Atenção Psicossocial - CAPS III - 24 horas.</t>
    </r>
  </si>
  <si>
    <t>CAPS III 24 horas construído (unidade)</t>
  </si>
  <si>
    <t>8[14]</t>
  </si>
  <si>
    <t>8535 (PO 000B) 8585 (PO 0000)</t>
  </si>
  <si>
    <r>
      <t>17.</t>
    </r>
    <r>
      <rPr>
        <sz val="7"/>
        <color theme="1"/>
        <rFont val="Times New Roman"/>
        <family val="1"/>
      </rPr>
      <t xml:space="preserve">     </t>
    </r>
    <r>
      <rPr>
        <sz val="9"/>
        <color theme="1"/>
        <rFont val="Calibri"/>
        <family val="2"/>
      </rPr>
      <t>Apoiar a implantação de 162 novos CAPS-AD e CAPS-AD III.</t>
    </r>
  </si>
  <si>
    <t>CAPS-AD implantado (unidade)</t>
  </si>
  <si>
    <t>12[15]</t>
  </si>
  <si>
    <t>8585 (PO 0000) 20YI (PO 000J)</t>
  </si>
  <si>
    <r>
      <t>18.</t>
    </r>
    <r>
      <rPr>
        <sz val="7"/>
        <color theme="1"/>
        <rFont val="Times New Roman"/>
        <family val="1"/>
      </rPr>
      <t xml:space="preserve">     </t>
    </r>
    <r>
      <rPr>
        <sz val="9"/>
        <color theme="1"/>
        <rFont val="Calibri"/>
        <family val="2"/>
      </rPr>
      <t>Apoiar a implantação de 502 leitos de saúde mental em hospitais gerais.</t>
    </r>
  </si>
  <si>
    <t>Leito de saúde mental implantado (unidade)</t>
  </si>
  <si>
    <t>172[16]</t>
  </si>
  <si>
    <r>
      <t>19.</t>
    </r>
    <r>
      <rPr>
        <sz val="7"/>
        <color theme="1"/>
        <rFont val="Times New Roman"/>
        <family val="1"/>
      </rPr>
      <t xml:space="preserve">     </t>
    </r>
    <r>
      <rPr>
        <sz val="9"/>
        <color theme="1"/>
        <rFont val="Calibri"/>
        <family val="2"/>
      </rPr>
      <t>Incentivar a adesão de 400 Centros de Especialidades Odontológicas à Rede de Cuidados à Pessoa com Deficiência.</t>
    </r>
  </si>
  <si>
    <t>Centro de Especialidade Odontológica habilitado à Rede de Cuidados à Pessoa com Deficiência (unidade)</t>
  </si>
  <si>
    <r>
      <t>20.</t>
    </r>
    <r>
      <rPr>
        <sz val="7"/>
        <color theme="1"/>
        <rFont val="Times New Roman"/>
        <family val="1"/>
      </rPr>
      <t xml:space="preserve">     </t>
    </r>
    <r>
      <rPr>
        <sz val="9"/>
        <color theme="1"/>
        <rFont val="Calibri"/>
        <family val="2"/>
      </rPr>
      <t>Implantar 98 Centros Especializados em Reabilitação - CER, passando de 124 para 222 CER em funcionamento.</t>
    </r>
  </si>
  <si>
    <t>Centro Especializado em Reabilitação - CER implantado (unidade)</t>
  </si>
  <si>
    <t>8535 (PO 0004) 8585 (PO 0000) 20YI (PO 0006)</t>
  </si>
  <si>
    <r>
      <t>21.</t>
    </r>
    <r>
      <rPr>
        <sz val="7"/>
        <color theme="1"/>
        <rFont val="Times New Roman"/>
        <family val="1"/>
      </rPr>
      <t xml:space="preserve">     </t>
    </r>
    <r>
      <rPr>
        <sz val="9"/>
        <color theme="1"/>
        <rFont val="Calibri"/>
        <family val="2"/>
      </rPr>
      <t>Implantar 50 oficinas ortopédicas no País, passando de 24 para 74 oficinas em funcionamento.</t>
    </r>
  </si>
  <si>
    <t>Oficina Ortopédica implantada (unidade)</t>
  </si>
  <si>
    <t>8[17]</t>
  </si>
  <si>
    <t>8535 (PO 0004) 20YI (PO 0006) 8585 (PO 0000)</t>
  </si>
  <si>
    <r>
      <t>22.</t>
    </r>
    <r>
      <rPr>
        <sz val="7"/>
        <color theme="1"/>
        <rFont val="Times New Roman"/>
        <family val="1"/>
      </rPr>
      <t xml:space="preserve">     </t>
    </r>
    <r>
      <rPr>
        <sz val="9"/>
        <color theme="1"/>
        <rFont val="Calibri"/>
        <family val="2"/>
      </rPr>
      <t>Ofertar 98 novos veículos adaptados acessíveis para transporte de pessoas com deficiência, passando de 103 para 201 veículos entregues.</t>
    </r>
  </si>
  <si>
    <t>Veículo adaptado entregue (unidade)</t>
  </si>
  <si>
    <t>108[18]</t>
  </si>
  <si>
    <t>20YI (PO 0006) 8535 (PO 0004)</t>
  </si>
  <si>
    <r>
      <t>23.</t>
    </r>
    <r>
      <rPr>
        <sz val="7"/>
        <color theme="1"/>
        <rFont val="Times New Roman"/>
        <family val="1"/>
      </rPr>
      <t xml:space="preserve">     </t>
    </r>
    <r>
      <rPr>
        <sz val="9"/>
        <color theme="1"/>
        <rFont val="Calibri"/>
        <family val="2"/>
      </rPr>
      <t>Apoiar a implantação de 300 Serviços Residenciais Terapêuticos (SRT).</t>
    </r>
  </si>
  <si>
    <t>Serviço Residencial Terapêutico (SRT) implantado (unidade)</t>
  </si>
  <si>
    <t>63[19]</t>
  </si>
  <si>
    <r>
      <t>24.</t>
    </r>
    <r>
      <rPr>
        <sz val="7"/>
        <color theme="1"/>
        <rFont val="Times New Roman"/>
        <family val="1"/>
      </rPr>
      <t xml:space="preserve">     </t>
    </r>
    <r>
      <rPr>
        <sz val="9"/>
        <color theme="1"/>
        <rFont val="Calibri"/>
        <family val="2"/>
      </rPr>
      <t>Habilitar 18 unidades que realizam acompanhamento multiprofissional das pessoas com Doença Renal Crônica (DRC) nos estágios clínicos IV e V (pré dialítico).</t>
    </r>
  </si>
  <si>
    <t>Unidade Especializada com DRC habilitada (unidade)</t>
  </si>
  <si>
    <r>
      <t>25.</t>
    </r>
    <r>
      <rPr>
        <sz val="7"/>
        <color theme="1"/>
        <rFont val="Times New Roman"/>
        <family val="1"/>
      </rPr>
      <t xml:space="preserve">     </t>
    </r>
    <r>
      <rPr>
        <sz val="9"/>
        <color theme="1"/>
        <rFont val="Calibri"/>
        <family val="2"/>
      </rPr>
      <t>Elaborar e publicar 8 novas Diretrizes de Atenção à Saúde da Pessoa com Deficiência, no âmbito do Programa Viver sem Limite.</t>
    </r>
  </si>
  <si>
    <t>Diretriz de Atenção à Saúde da Pessoa com Deficiência publicada (unidade)</t>
  </si>
  <si>
    <t>3[20]</t>
  </si>
  <si>
    <t>20YI (PO 0006)</t>
  </si>
  <si>
    <t>[1] Em 2019, a ação aprovou, com propostas de aquisição de equipamentos, 214 maternidades (154 empenhadas e aguardando pagamento).</t>
  </si>
  <si>
    <t>[2] Os resultados de 2017 e 2018 foram revisados.</t>
  </si>
  <si>
    <t>[3] Em 2019 foram 19 serviços de maternidade habilitados, totalizando 182. Dado de 2018 revisado.</t>
  </si>
  <si>
    <t>[4] Atualmente 74 maternidades foram adequadas.</t>
  </si>
  <si>
    <t xml:space="preserve">[5] O dado de 2018 foi revisado. </t>
  </si>
  <si>
    <t>[6] Atualmente, há 27 Centros de Parto Normal, dos quais 15 foram implantados no período 2016-2019.</t>
  </si>
  <si>
    <t>[7] Os dados de 2017 e 2018 foram revisados. Os dados de 2019 são parciais (até novembro). De janeiro de 2016 até novembro de 2019 foram realizadas 9.902.238 mamografias bilaterais em mulheres de 50-69 anos.</t>
  </si>
  <si>
    <t>[8] Os dados dos anos anteriores foram revisados. Dados de 2019 parciais (até novembro). De janeiro de 2016 a novembro de 2019 foram realizados 26.911.063 exames citopatológicos em mulheres de 25-64 anos.</t>
  </si>
  <si>
    <t>[9] Em 2019 foram 9 soluções implantadas. Dado de 2017 foi revisado.</t>
  </si>
  <si>
    <t>[10] Até dezembro de 2019 havia 5.668 beneficiários recebendo recurso do Programa de Volta para Casa – PVC. Dados de anos anteriores revisados.</t>
  </si>
  <si>
    <t>[11] Atualmente, 24 Unidades de acolhimento infanto juvenil – UAI estão implantadas, sendo 4 no período de 2016-2019.</t>
  </si>
  <si>
    <t>[12] Atualmente, 43 Unidades de acolhimento adulto – UA estão implantadas, sendo 15 no período de 2016-2019.</t>
  </si>
  <si>
    <t>[13] Atualmente, 2.212 CAPS estão implantados, sendo 287 no período de 2016-2019.</t>
  </si>
  <si>
    <t>[14] Os resultados de 2016 e 2017 foram revisados. No período 2016-2019 foram construídos 40 CAPS III – 24 horas.</t>
  </si>
  <si>
    <t>[15] Atualmente, 457 CAPS-AD e CAPS-AD III estão implantados, sendo 54 no período de 2016-2019, considerando que ocorreu uma desabilitação em 2018.</t>
  </si>
  <si>
    <t xml:space="preserve">[16] Atualmente, 1.622 leitos de saúde mental estão implantados, sendo 627 no período 2016-2019. </t>
  </si>
  <si>
    <t>[17] Em 2019 foram implantadas 8 novas oficinas ortopédicas, totalizando 20 no período 2016-2019. Atualmente, existem 44 oficinas ortopédicas implantadas.</t>
  </si>
  <si>
    <t>[18] Até 2019, 293 veículos adaptados foram entregues, sendo 190 no período de 2016-2019.</t>
  </si>
  <si>
    <t>[19] Em 2019 foram implantados 63 novos Serviços Residenciais Terapêuticos, totalizando 322 no período 2016-2019. Atualmente, existem 684 SRT implantados no país.</t>
  </si>
  <si>
    <t>[20] Até 2019, foram publicadas 12 diretrizes.</t>
  </si>
  <si>
    <t>Objetivo 03. Promover o cuidado integral às pessoas nos ciclos de vida (criança, adolescente, jovem, adulto e idoso), considerando as questões de gênero, orientação sexual, raça/etnia, situações de vulnerabilidade, as especificidades e a diversidade na atenção básica, nas redes temáticas e nas redes de atenção à saúde</t>
  </si>
  <si>
    <t>1.        Ampliar o número das equipes de saúde de referência no atendimento a adolescentes em conflito com a lei, passando de 65 para 110 equipes implantadas. [1]</t>
  </si>
  <si>
    <t>Equipe de saúde referenciada (Unidade)</t>
  </si>
  <si>
    <t>219A (PO0001)</t>
  </si>
  <si>
    <r>
      <t>2.</t>
    </r>
    <r>
      <rPr>
        <sz val="7"/>
        <color rgb="FF000000"/>
        <rFont val="Times New Roman"/>
        <family val="1"/>
      </rPr>
      <t xml:space="preserve">        </t>
    </r>
    <r>
      <rPr>
        <sz val="9"/>
        <color rgb="FF000000"/>
        <rFont val="Calibri"/>
        <family val="2"/>
      </rPr>
      <t>Implantar 26 serviços de referência para atenção integral às pessoas em situação de violência sexual em hospitais de referência do SUS, para a realização do registro de informações e da coleta de vestígios.</t>
    </r>
  </si>
  <si>
    <t>Serviço habilitado (Unidade)</t>
  </si>
  <si>
    <t>0[2]</t>
  </si>
  <si>
    <t>20YI (PO 000F)</t>
  </si>
  <si>
    <r>
      <t>3.</t>
    </r>
    <r>
      <rPr>
        <sz val="7"/>
        <color theme="1"/>
        <rFont val="Times New Roman"/>
        <family val="1"/>
      </rPr>
      <t xml:space="preserve">        </t>
    </r>
    <r>
      <rPr>
        <sz val="9"/>
        <color theme="1"/>
        <rFont val="Calibri"/>
        <family val="2"/>
      </rPr>
      <t>Suplementar 330 mil crianças de 6 a 48 meses de idade com sachês de vitaminas e minerais, por meio da Estratégia de fortificação da alimentação infantil com micronutrientes em pó – NutriSUS, nas creches participantes do Programa Saúde na Escola, anualmente.</t>
    </r>
  </si>
  <si>
    <t>Criança suplementada (Unidade)</t>
  </si>
  <si>
    <t>20QH</t>
  </si>
  <si>
    <t xml:space="preserve">[1] A linha de base foi alterada, passando para 62 equipes de saúde referenciadas no ano de 2015. </t>
  </si>
  <si>
    <t>[2] Quatro serviços foram implantados em 2016: São Bernardo do Campo/SP, Blumenau/SC, Caxias do Sul/RS e Curitiba/PR; e dois serviços em 2017: Hospital da Mulher do Recife – Dra. Mercês Pontes Cunha/PE; e Hospital Universitário Evangélico de Curitiba/PR. Foram encontradas barreiras para habilitação dos serviços em coleta de vestígios, entre elas: falta de espaço físico para guarda de material, dificuldades de articulação com os IMLs locais; e dificuldades de sensibilização para a realização dessa modalidade de procedimento por parte dos profissionais de saúde do hospital.</t>
  </si>
  <si>
    <t>[3] A meta física realizada em 2018 foi ajustada, passando de 138.680 crianças suplementadas para 310.350 crianças suplementadas. Os dados 2019 são parciais - relativos ao monitoramento do 1º Ciclo de 2019. Os dados referentes ao 2º Ciclo de suplementação de 2019 ainda estão em fase de atualização no Sistema e-Gestor AB Micronutrientes.</t>
  </si>
  <si>
    <t>Objetivo 04. Reduzir e prevenir riscos e agravos à saúde da população, considerando os determinantes sociais, por meio das ações de vigilância, promoção e proteção, com foco na prevenção de doenças crônicas não transmissíveis, acidentes e violências, no controle das doenças transmissíveis e na promoção do envelhecimento saudável</t>
  </si>
  <si>
    <r>
      <t>1.</t>
    </r>
    <r>
      <rPr>
        <sz val="7"/>
        <color theme="1"/>
        <rFont val="Times New Roman"/>
        <family val="1"/>
      </rPr>
      <t xml:space="preserve">        </t>
    </r>
    <r>
      <rPr>
        <sz val="9"/>
        <color theme="1"/>
        <rFont val="Calibri"/>
        <family val="2"/>
      </rPr>
      <t>Ampliar para, no mínimo, 70% o percentual de municípios com cobertura vacinal adequada (95%) da vacina Pentavalente (DTP+HB+Hib) em menores de 1 ano.</t>
    </r>
  </si>
  <si>
    <t>Municípios com 95% de cobertura vacinal adequada da vacina pentavalente em menores de 1 ano (percentual)</t>
  </si>
  <si>
    <t>22,72[1]%</t>
  </si>
  <si>
    <t>inferior à meta de 70%</t>
  </si>
  <si>
    <t>19 pontos percentuais inferior ao previsto</t>
  </si>
  <si>
    <t>20YE (PO 0002)</t>
  </si>
  <si>
    <r>
      <t>2.</t>
    </r>
    <r>
      <rPr>
        <sz val="7"/>
        <color theme="1"/>
        <rFont val="Times New Roman"/>
        <family val="1"/>
      </rPr>
      <t xml:space="preserve">        </t>
    </r>
    <r>
      <rPr>
        <sz val="9"/>
        <color theme="1"/>
        <rFont val="Calibri"/>
        <family val="2"/>
      </rPr>
      <t>Garantir a aquisição de 100% dos imunobiológicos de responsabilidade do Ministério da Saúde.</t>
    </r>
  </si>
  <si>
    <t>Imunobiológico adquirido (percentual)</t>
  </si>
  <si>
    <t>90,24%[2]</t>
  </si>
  <si>
    <t>10 pontos percentuais inferior à meta</t>
  </si>
  <si>
    <t>10 pontos percentuais inferior ao previsto</t>
  </si>
  <si>
    <r>
      <t>3.</t>
    </r>
    <r>
      <rPr>
        <sz val="7"/>
        <color theme="1"/>
        <rFont val="Times New Roman"/>
        <family val="1"/>
      </rPr>
      <t xml:space="preserve">        </t>
    </r>
    <r>
      <rPr>
        <sz val="9"/>
        <color theme="1"/>
        <rFont val="Calibri"/>
        <family val="2"/>
      </rPr>
      <t>Aumentar para, no mínimo, 76% a proporção de cura de casos novos de tuberculose pulmonar diagnosticados.</t>
    </r>
  </si>
  <si>
    <t>Caso novo de tuberculose pulmonar com confirmação laboratorial curado (percentual)</t>
  </si>
  <si>
    <t>63,6%[3]</t>
  </si>
  <si>
    <t>12 pontos percentuais inferior à meta</t>
  </si>
  <si>
    <t>12 pontos percentuais inferior ao previsto</t>
  </si>
  <si>
    <t>20YJ (PO 0006)</t>
  </si>
  <si>
    <r>
      <t>4.</t>
    </r>
    <r>
      <rPr>
        <sz val="7"/>
        <color theme="1"/>
        <rFont val="Times New Roman"/>
        <family val="1"/>
      </rPr>
      <t xml:space="preserve">        </t>
    </r>
    <r>
      <rPr>
        <sz val="9"/>
        <color theme="1"/>
        <rFont val="Calibri"/>
        <family val="2"/>
      </rPr>
      <t>Aumentar para 95% a proporção de examinados entre os contatos intradomiciliares registrados dos casos novos de hanseníase diagnosticados nos anos das coortes.</t>
    </r>
  </si>
  <si>
    <t>Contato intradomiciliar examinado (percentual)</t>
  </si>
  <si>
    <t>81,4%[4]</t>
  </si>
  <si>
    <t>14 pontos percentuais inferior à meta</t>
  </si>
  <si>
    <t>20YJ (PO 0007)</t>
  </si>
  <si>
    <r>
      <t>5.</t>
    </r>
    <r>
      <rPr>
        <sz val="7"/>
        <color theme="1"/>
        <rFont val="Times New Roman"/>
        <family val="1"/>
      </rPr>
      <t xml:space="preserve">        </t>
    </r>
    <r>
      <rPr>
        <sz val="9"/>
        <color theme="1"/>
        <rFont val="Calibri"/>
        <family val="2"/>
      </rPr>
      <t>Aumentar para, no mínimo, 90% a proporção de pessoas vivendo com HIV/Aids, em tratamento há pelo menos 6 meses, com carga viral suprimida.</t>
    </r>
  </si>
  <si>
    <t>Pessoa vivendo com HIV/aids, em tratamento há pelo menos 6 meses, com carga viral suprimida (percentual)</t>
  </si>
  <si>
    <t>4 pontos percentuais superior à meta</t>
  </si>
  <si>
    <t>1,0 ponto percentual inferior ao previsto</t>
  </si>
  <si>
    <t>4370 20YE (PO 0001)</t>
  </si>
  <si>
    <r>
      <t>6.</t>
    </r>
    <r>
      <rPr>
        <sz val="7"/>
        <color theme="1"/>
        <rFont val="Times New Roman"/>
        <family val="1"/>
      </rPr>
      <t xml:space="preserve">        </t>
    </r>
    <r>
      <rPr>
        <sz val="9"/>
        <color theme="1"/>
        <rFont val="Calibri"/>
        <family val="2"/>
      </rPr>
      <t>Aumentar para, no mínimo, 80% a proporção de testagem para HIV entre casos novos de tuberculose.</t>
    </r>
  </si>
  <si>
    <t>Testagem para HIV realizado em caso novo de tuberculose diagnosticado (percentual)</t>
  </si>
  <si>
    <t>76,1%[5]</t>
  </si>
  <si>
    <t>4 pontos percentuais inferior à meta</t>
  </si>
  <si>
    <t>4 pontos percentuais inferior ao previsto</t>
  </si>
  <si>
    <t>20YE (PO 0001)</t>
  </si>
  <si>
    <r>
      <t>7.</t>
    </r>
    <r>
      <rPr>
        <sz val="7"/>
        <color theme="1"/>
        <rFont val="Times New Roman"/>
        <family val="1"/>
      </rPr>
      <t xml:space="preserve">        </t>
    </r>
    <r>
      <rPr>
        <sz val="9"/>
        <color theme="1"/>
        <rFont val="Calibri"/>
        <family val="2"/>
      </rPr>
      <t>Reduzir, para no máximo 100.000, o número de casos autóctones de malária no Brasil.</t>
    </r>
  </si>
  <si>
    <t>Caso autóctone de malária registrado (unidade)</t>
  </si>
  <si>
    <t>151.119[6]</t>
  </si>
  <si>
    <t>20YJ (PO 0002)</t>
  </si>
  <si>
    <r>
      <t>8.</t>
    </r>
    <r>
      <rPr>
        <sz val="7"/>
        <color theme="1"/>
        <rFont val="Times New Roman"/>
        <family val="1"/>
      </rPr>
      <t xml:space="preserve">        </t>
    </r>
    <r>
      <rPr>
        <sz val="9"/>
        <color theme="1"/>
        <rFont val="Calibri"/>
        <family val="2"/>
      </rPr>
      <t>Assegurar 100% das regiões de saúde com cobertura de pelo menos um Centro de Referência em Saúde do Trabalhador (Cerest).</t>
    </r>
  </si>
  <si>
    <t>Região de saúde com cobertura de pelo menos um Cerest (percentual)</t>
  </si>
  <si>
    <t>26 pontos percentuais inferior à meta</t>
  </si>
  <si>
    <t>6 pontos percentuais inferior ao previsto</t>
  </si>
  <si>
    <r>
      <t>9.</t>
    </r>
    <r>
      <rPr>
        <sz val="7"/>
        <color theme="1"/>
        <rFont val="Times New Roman"/>
        <family val="1"/>
      </rPr>
      <t xml:space="preserve">        </t>
    </r>
    <r>
      <rPr>
        <sz val="9"/>
        <color theme="1"/>
        <rFont val="Calibri"/>
        <family val="2"/>
      </rPr>
      <t>Reduzir a prevalência de uso do tabaco para 9,6%.</t>
    </r>
  </si>
  <si>
    <t>Prevalência alcançada (percentual)</t>
  </si>
  <si>
    <t>9,3%[7]</t>
  </si>
  <si>
    <t>0,3 pontos percentuais inferior à meta</t>
  </si>
  <si>
    <t>0,3 pontos percentuais inferior ao previsto</t>
  </si>
  <si>
    <t>20YJ (PO 000G)</t>
  </si>
  <si>
    <r>
      <t>10.</t>
    </r>
    <r>
      <rPr>
        <sz val="7"/>
        <color theme="1"/>
        <rFont val="Times New Roman"/>
        <family val="1"/>
      </rPr>
      <t xml:space="preserve">     </t>
    </r>
    <r>
      <rPr>
        <sz val="9"/>
        <color theme="1"/>
        <rFont val="Calibri"/>
        <family val="2"/>
      </rPr>
      <t>Custear 3.500 pólos do Programa Academia da Saúde.</t>
    </r>
  </si>
  <si>
    <t>Polo do Programa Academia da Saúde custeado (unidade)</t>
  </si>
  <si>
    <t>1.478[8]</t>
  </si>
  <si>
    <t>217U</t>
  </si>
  <si>
    <r>
      <t>11.</t>
    </r>
    <r>
      <rPr>
        <sz val="7"/>
        <color theme="1"/>
        <rFont val="Times New Roman"/>
        <family val="1"/>
      </rPr>
      <t xml:space="preserve">     </t>
    </r>
    <r>
      <rPr>
        <sz val="9"/>
        <color theme="1"/>
        <rFont val="Calibri"/>
        <family val="2"/>
      </rPr>
      <t>Reduzir o consumo regular de refrigerante e suco artificial de 20,8% para 14% da população, por meio de ações articuladas no âmbito da Câmara Interministerial de Segurança Alimentar e Nutricional (CAISAN)</t>
    </r>
  </si>
  <si>
    <t>População com mais de 18 anos residentes nas 26 capitais e DF consumindo refrigerante e suco artificial cinco ou mais dias por semana (percentual)</t>
  </si>
  <si>
    <t>14,4%[9]</t>
  </si>
  <si>
    <t>0,4 pontos percentuais superior à meta</t>
  </si>
  <si>
    <t>0,4 pontos percentuais superior ao previsto</t>
  </si>
  <si>
    <r>
      <t>12.</t>
    </r>
    <r>
      <rPr>
        <sz val="7"/>
        <color theme="1"/>
        <rFont val="Times New Roman"/>
        <family val="1"/>
      </rPr>
      <t xml:space="preserve">     </t>
    </r>
    <r>
      <rPr>
        <sz val="9"/>
        <color theme="1"/>
        <rFont val="Calibri"/>
        <family val="2"/>
      </rPr>
      <t>Ampliar de 36,5% para 43% o percentual de adultos que consomem frutas e hortaliças regularmente, por meio de ações articuladas no âmbito da Câmara Interministerial de Segurança Alimentar e Nutricional (CAISAN)</t>
    </r>
  </si>
  <si>
    <t>População com mais de 18 anos residentes nas 26 capitais e DF consumindo frutas e hortaliças regularmente em cinco ou mais dias por semana (percentual)</t>
  </si>
  <si>
    <t>9 pontos percentuais inferior à meta</t>
  </si>
  <si>
    <t>9 pontos percentuais inferior ao previsto</t>
  </si>
  <si>
    <r>
      <t>13.</t>
    </r>
    <r>
      <rPr>
        <sz val="7"/>
        <color theme="1"/>
        <rFont val="Times New Roman"/>
        <family val="1"/>
      </rPr>
      <t xml:space="preserve">     </t>
    </r>
    <r>
      <rPr>
        <sz val="9"/>
        <color theme="1"/>
        <rFont val="Calibri"/>
        <family val="2"/>
      </rPr>
      <t>Deter o crescimento da obesidade na população adulta, por meio de ações articuladas no âmbito da Câmara Interministerial de Segurança Alimentar e Nutricional (CAISAN)</t>
    </r>
  </si>
  <si>
    <t>Adultos com obesidade (IMC maior que 30), para monitorar a meta de conter o crescimento desta prevalência (percentual)</t>
  </si>
  <si>
    <t>&lt;= 52,5%</t>
  </si>
  <si>
    <t>Não ultrapassar 52,5% da população adulta com excesso de peso.</t>
  </si>
  <si>
    <t>Não ultrapassar 17,9% da população adulta com obesidade</t>
  </si>
  <si>
    <t>19,8%[10]</t>
  </si>
  <si>
    <t>2 pontos percentuais superior à meta</t>
  </si>
  <si>
    <t>2 pontos percentuais superior ao previsto</t>
  </si>
  <si>
    <r>
      <t>14.</t>
    </r>
    <r>
      <rPr>
        <sz val="7"/>
        <color theme="1"/>
        <rFont val="Times New Roman"/>
        <family val="1"/>
      </rPr>
      <t xml:space="preserve">     </t>
    </r>
    <r>
      <rPr>
        <sz val="9"/>
        <color theme="1"/>
        <rFont val="Calibri"/>
        <family val="2"/>
      </rPr>
      <t>Reduzir em 50% o número de casos novos de beribéri notificados, por meio de ações articuladas no âmbito da Câmara Interministerial de Segurança Alimentar e Nutricional (Caisan)</t>
    </r>
  </si>
  <si>
    <t>Casos novo de beribéri notificado (percentual)</t>
  </si>
  <si>
    <t>0% (37 casos)</t>
  </si>
  <si>
    <t>20% (23 casos)</t>
  </si>
  <si>
    <r>
      <t>0</t>
    </r>
    <r>
      <rPr>
        <vertAlign val="superscript"/>
        <sz val="9"/>
        <color rgb="FF000000"/>
        <rFont val="Calibri"/>
        <family val="2"/>
      </rPr>
      <t xml:space="preserve"> </t>
    </r>
    <r>
      <rPr>
        <sz val="9"/>
        <color rgb="FF000000"/>
        <rFont val="Calibri"/>
        <family val="2"/>
      </rPr>
      <t>(45 casos)</t>
    </r>
  </si>
  <si>
    <t>22 (35% de redução)</t>
  </si>
  <si>
    <t>54%  (15 casos)</t>
  </si>
  <si>
    <t>16 pontos percentuais superior à meta</t>
  </si>
  <si>
    <t>16 pontos percentuais superior ao previsto</t>
  </si>
  <si>
    <t>(17 casos)</t>
  </si>
  <si>
    <t>(11 casos)[11]</t>
  </si>
  <si>
    <r>
      <t>15.</t>
    </r>
    <r>
      <rPr>
        <sz val="7"/>
        <color theme="1"/>
        <rFont val="Times New Roman"/>
        <family val="1"/>
      </rPr>
      <t xml:space="preserve">     </t>
    </r>
    <r>
      <rPr>
        <sz val="9"/>
        <color theme="1"/>
        <rFont val="Calibri"/>
        <family val="2"/>
      </rPr>
      <t>Executar ações de apoio ao controle da qualidade da água para consumo humano em 2.000 municípios.</t>
    </r>
  </si>
  <si>
    <t>Município apoiado (unidade)</t>
  </si>
  <si>
    <t>20Q8 20AF</t>
  </si>
  <si>
    <r>
      <t>16.</t>
    </r>
    <r>
      <rPr>
        <sz val="7"/>
        <color theme="1"/>
        <rFont val="Times New Roman"/>
        <family val="1"/>
      </rPr>
      <t xml:space="preserve">     </t>
    </r>
    <r>
      <rPr>
        <sz val="9"/>
        <color theme="1"/>
        <rFont val="Calibri"/>
        <family val="2"/>
      </rPr>
      <t>Ampliar de 26,79 para 26,90 milhões o número domicílios urbanos com renda de até três salários mínimos mensais, que possuem unidades hidrossanitárias.</t>
    </r>
  </si>
  <si>
    <t>Domicílio urbano, com renda de até três salários mínimos, beneficiado (unidade)</t>
  </si>
  <si>
    <t>Não informado</t>
  </si>
  <si>
    <t>5.117 [12]</t>
  </si>
  <si>
    <r>
      <t>17.</t>
    </r>
    <r>
      <rPr>
        <sz val="7"/>
        <color theme="1"/>
        <rFont val="Times New Roman"/>
        <family val="1"/>
      </rPr>
      <t xml:space="preserve">     </t>
    </r>
    <r>
      <rPr>
        <sz val="9"/>
        <color theme="1"/>
        <rFont val="Calibri"/>
        <family val="2"/>
      </rPr>
      <t>Ampliar em 30 mil o número de domicílios rurais abastecidos por rede de distribuição ou poço ou nascente com canalização interna.</t>
    </r>
  </si>
  <si>
    <t>Domicílio rural abastecido (unidade)</t>
  </si>
  <si>
    <t>4.591[13]</t>
  </si>
  <si>
    <r>
      <t>18.</t>
    </r>
    <r>
      <rPr>
        <sz val="7"/>
        <color theme="1"/>
        <rFont val="Times New Roman"/>
        <family val="1"/>
      </rPr>
      <t xml:space="preserve">     </t>
    </r>
    <r>
      <rPr>
        <sz val="9"/>
        <color theme="1"/>
        <rFont val="Calibri"/>
        <family val="2"/>
      </rPr>
      <t>Ampliar em 20 mil o número de domicílios rurais servidos por rede coletora ou fossa séptica para os excretas ou esgotos sanitários.</t>
    </r>
  </si>
  <si>
    <t>Domicílio rural servido (unidade)</t>
  </si>
  <si>
    <r>
      <t>19.</t>
    </r>
    <r>
      <rPr>
        <sz val="7"/>
        <color theme="1"/>
        <rFont val="Times New Roman"/>
        <family val="1"/>
      </rPr>
      <t xml:space="preserve">     </t>
    </r>
    <r>
      <rPr>
        <sz val="9"/>
        <color theme="1"/>
        <rFont val="Calibri"/>
        <family val="2"/>
      </rPr>
      <t>Ampliar em 10 mil o número domicílios rurais, com renda de até três salários mínimos mensais, que possuem unidades hidrossanitárias.</t>
    </r>
  </si>
  <si>
    <t>Domicílio rural atendido (unidade)</t>
  </si>
  <si>
    <r>
      <t>20.</t>
    </r>
    <r>
      <rPr>
        <sz val="7"/>
        <color theme="1"/>
        <rFont val="Times New Roman"/>
        <family val="1"/>
      </rPr>
      <t xml:space="preserve">     </t>
    </r>
    <r>
      <rPr>
        <sz val="9"/>
        <color theme="1"/>
        <rFont val="Calibri"/>
        <family val="2"/>
      </rPr>
      <t>Executar ações de apoio ao controle da qualidade da água para consumo humano em 3.000 Comunidades Rurais e Tradicionais.</t>
    </r>
  </si>
  <si>
    <t>Comunidade tradicional e área rural apoiada (unidade)</t>
  </si>
  <si>
    <t>[1] As informações referentes aos anos de 2016, 2017 e 2018 foram atualizadas com dados fechados. Embora os dados de 2019 sejam preliminares, de fato houve uma redução na distribuição de vacinas em virtude de problemas na qualidade dos lotes de fornecidos pelo laboratório “Biological E” o que afetou a desempenho da meta.</t>
  </si>
  <si>
    <t>[2] Até 31 de dezembro de 2019 foram celebrados 37 de 41 contratos para aquisição dos imunobiológicos em virtude de dificuldades na celebração de contratos.</t>
  </si>
  <si>
    <t>[3] Para avaliar o ano corrente, utilizam-se casos diagnosticados em 2018, uma vez que os desfechos dos tratamentos desses casos aconteceram em 2019.</t>
  </si>
  <si>
    <t>[4] As informações referentes aos anos de 2016, 2017 e 2018 foram atualizadas com dados fechados. Entretanto, o de 2019 é ainda preliminar.</t>
  </si>
  <si>
    <t>[5] Dados preliminares. Dados de 2016 a 2018 revisados.</t>
  </si>
  <si>
    <t>[6] As informações referentes aos anos de 2017 e 2018 foram atualizadas com dados fechados. Entretanto, o de 2019 é ainda preliminar.</t>
  </si>
  <si>
    <t>[7] O dado apresentado refere-se ao ano de 2018, conforme VIGITEL 2018, publicado em 2019. As informações referentes ao exercício de 2019 serão divulgados em 2020.</t>
  </si>
  <si>
    <t>[8] Aspectos como a pouca expertise entre os gestores e profissionais da saúde para a implementação do Programa Academia da Saúde e a necessidade de se aprovar um Termo de Execução Descentralizada (TED) com o intuito de promover a qualificação dos gestores do programa nos entes federativos interferiram no desempenho da meta.</t>
  </si>
  <si>
    <t>[9] O dado apresentado refere-se ao ano de 2018, conforme VIGITEL 2018, publicado em 2019. As informações referentes ao exercício de 2019 serão divulgados em 2020.</t>
  </si>
  <si>
    <t>[10] Dados do Vigitel 2018 demonstram que a obesidade aumentou de 18,9%, em 2015, para 19,8% em 2018; no entanto, manteve-se estável em relação aos dados de 2015, 2016 e 2017.  O produto e a meta da PAS 2019 foram revisados para retratarem o indicador de prevalência de obesidade e corrigir o erro de anos anteriores que considerou o índice de  excesso de peso.</t>
  </si>
  <si>
    <t>[11] Em 2019, houve uma redução no número de casos de beribéri registrados em relação aos 33 casos identificados em 2015, linha de base da meta. Nos anos de 2016 e 2017 foram registrados aumento dos casos com uma redução significativa a partir de 2018..</t>
  </si>
  <si>
    <t>[12] A Funasa publicou em 4 de dezembro de 2019 a instituição de Processo Seletivo para execução de ações de Melhorias Sanitárias Domiciliares em áreas urbanas e Melhorias Habitacionais para o Controle da Doença de Chagas (Portaria Funasa n° 9.637, de 3 de dezembro de 2019).</t>
  </si>
  <si>
    <t>[13] A Funasa publicou em 4 de dezembro de 2019 a instituição de Processo Seletivo para execução de Obras de Abastecimento de Água, de Sistemas Públicos de Esgotamento Sanitário e de Melhorias Sanitárias Domiciliares e/ou coletivas de pequeno porte em áreas rurais e comunidades tradicionais, fora do perímetro urbano, definido por lei municipal, e em comunidades quilombolas certificadas e/ou tituladas (Portaria Funasa n° 9.636, de 3 de dezembro de 2019).</t>
  </si>
  <si>
    <t>Objetivo 05. Promover a atenção à saúde dos povos indígenas, aprimorando as ações de atenção básica e de saneamento básico nas aldeias, observando as práticas de saúde e os saberes tradicionais, e articulando com os demais gestores do SUS para prover ações complementares e especializadas, com controle social.</t>
  </si>
  <si>
    <t>Realizada[1]</t>
  </si>
  <si>
    <r>
      <t>1.</t>
    </r>
    <r>
      <rPr>
        <sz val="7"/>
        <color theme="1"/>
        <rFont val="Times New Roman"/>
        <family val="1"/>
      </rPr>
      <t xml:space="preserve">        </t>
    </r>
    <r>
      <rPr>
        <sz val="9"/>
        <color theme="1"/>
        <rFont val="Calibri"/>
        <family val="2"/>
      </rPr>
      <t>Ampliar de 76% em 2014 para 85% as crianças menores de 5 anos com esquema vacinal completo de acordo com o calendário indígena de vacinação</t>
    </r>
  </si>
  <si>
    <t>Criança com esquema vacinal completo (percentual)</t>
  </si>
  <si>
    <t>20YP</t>
  </si>
  <si>
    <r>
      <t>2.</t>
    </r>
    <r>
      <rPr>
        <sz val="7"/>
        <color theme="1"/>
        <rFont val="Times New Roman"/>
        <family val="1"/>
      </rPr>
      <t xml:space="preserve">        </t>
    </r>
    <r>
      <rPr>
        <sz val="9"/>
        <color theme="1"/>
        <rFont val="Calibri"/>
        <family val="2"/>
      </rPr>
      <t>Ampliar de 83% em 2013 para 90% as gestantes indígenas com acesso ao pré-natal</t>
    </r>
  </si>
  <si>
    <t>Gestante indígena com acesso ao pré-natal (percentual)</t>
  </si>
  <si>
    <r>
      <t>3.</t>
    </r>
    <r>
      <rPr>
        <sz val="7"/>
        <color theme="1"/>
        <rFont val="Times New Roman"/>
        <family val="1"/>
      </rPr>
      <t xml:space="preserve">        </t>
    </r>
    <r>
      <rPr>
        <sz val="9"/>
        <color theme="1"/>
        <rFont val="Calibri"/>
        <family val="2"/>
      </rPr>
      <t>Alcançar 70% das crianças indígenas menores de 1 ano com acesso às consultas preconizadas de crescimento e desenvolvimento</t>
    </r>
  </si>
  <si>
    <t>Criança indígena menor de 1 ano com acesso às consultas preconizadas (percentual)</t>
  </si>
  <si>
    <t>0%[2]</t>
  </si>
  <si>
    <t>9,5%[3]</t>
  </si>
  <si>
    <t>40 pontos percentuais inferior à meta</t>
  </si>
  <si>
    <t>27 pontos percentuais inferior ao previsto</t>
  </si>
  <si>
    <r>
      <t>4.</t>
    </r>
    <r>
      <rPr>
        <sz val="7"/>
        <color theme="1"/>
        <rFont val="Times New Roman"/>
        <family val="1"/>
      </rPr>
      <t xml:space="preserve">        </t>
    </r>
    <r>
      <rPr>
        <sz val="9"/>
        <color theme="1"/>
        <rFont val="Calibri"/>
        <family val="2"/>
      </rPr>
      <t>Ampliar de 38,6% em 2014 para 60% a cobertura da população indígena com Primeira Consulta Odontológica Programática</t>
    </r>
  </si>
  <si>
    <t>População indígena com primeira consulta odontológica programática realizada (percentual)</t>
  </si>
  <si>
    <t>14 pontos percentuais inferior ao previsto</t>
  </si>
  <si>
    <r>
      <t>5.</t>
    </r>
    <r>
      <rPr>
        <sz val="7"/>
        <color theme="1"/>
        <rFont val="Times New Roman"/>
        <family val="1"/>
      </rPr>
      <t xml:space="preserve">        </t>
    </r>
    <r>
      <rPr>
        <sz val="9"/>
        <color theme="1"/>
        <rFont val="Calibri"/>
        <family val="2"/>
      </rPr>
      <t>Ampliar de 68% em 2014 para 90% as crianças indígenas menores de 5 anos acompanhadas pela vigilância alimentar e nutricional</t>
    </r>
  </si>
  <si>
    <t>Criança indígena, menor de 5 anos, atendida pela vigilância alimentar e nutricional (Percentual)</t>
  </si>
  <si>
    <t>6 pontos percentuais inferior à meta</t>
  </si>
  <si>
    <r>
      <t>6.</t>
    </r>
    <r>
      <rPr>
        <sz val="7"/>
        <color theme="1"/>
        <rFont val="Times New Roman"/>
        <family val="1"/>
      </rPr>
      <t xml:space="preserve">        </t>
    </r>
    <r>
      <rPr>
        <sz val="9"/>
        <color theme="1"/>
        <rFont val="Calibri"/>
        <family val="2"/>
      </rPr>
      <t>Reformar e/ou ampliar 11 Casas de Saúde Indígena (CASAI)</t>
    </r>
  </si>
  <si>
    <t>Casa de Saúde Indígena com obra de reforma/ampliação concluída (unidade)</t>
  </si>
  <si>
    <r>
      <t>7.</t>
    </r>
    <r>
      <rPr>
        <sz val="7"/>
        <color theme="1"/>
        <rFont val="Times New Roman"/>
        <family val="1"/>
      </rPr>
      <t xml:space="preserve">        </t>
    </r>
    <r>
      <rPr>
        <sz val="9"/>
        <color theme="1"/>
        <rFont val="Calibri"/>
        <family val="2"/>
      </rPr>
      <t>Reformar e/ou ampliar 250 sistemas de abastecimentos de água em aldeias</t>
    </r>
  </si>
  <si>
    <t>Sistema de Abastecimento de Água com obra de reforma/ampliação concluída (unidade)</t>
  </si>
  <si>
    <r>
      <t>8.</t>
    </r>
    <r>
      <rPr>
        <sz val="7"/>
        <color theme="1"/>
        <rFont val="Times New Roman"/>
        <family val="1"/>
      </rPr>
      <t xml:space="preserve">        </t>
    </r>
    <r>
      <rPr>
        <sz val="9"/>
        <color theme="1"/>
        <rFont val="Calibri"/>
        <family val="2"/>
      </rPr>
      <t>Implantar 281 sistemas de abastecimento de água em aldeias com população acima de 50 habitantes</t>
    </r>
  </si>
  <si>
    <t>Sistema de abastecimento de água concluído e em funcionamento (unidade)</t>
  </si>
  <si>
    <r>
      <t>9.</t>
    </r>
    <r>
      <rPr>
        <sz val="7"/>
        <color theme="1"/>
        <rFont val="Times New Roman"/>
        <family val="1"/>
      </rPr>
      <t xml:space="preserve">        </t>
    </r>
    <r>
      <rPr>
        <sz val="9"/>
        <color theme="1"/>
        <rFont val="Calibri"/>
        <family val="2"/>
      </rPr>
      <t>Implantar em 148 aldeias a destinação final adequada dos dejetos</t>
    </r>
  </si>
  <si>
    <t>Aldeia com destinação final adequada dos dejetos implantada (unidade)</t>
  </si>
  <si>
    <t>[1] Os resultados aferidos nas metas de 1 a 5 são dados preliminares.</t>
  </si>
  <si>
    <t xml:space="preserve">[2] Dado revisado. </t>
  </si>
  <si>
    <t>[3] A redução do resultado alcançado motiva-se pelo fato do monitoramento das informações por meio do SIASI ter inicado em 2017 e porque muitos DSEI ainda não possuíam ações sistemáticas para realização das consultas de C&amp;D e, ainda, relataram dificuldades para compreensão do método de cálculo do resultado de acompanhamento das consultas.</t>
  </si>
  <si>
    <t>Objetivo 06. Ampliar o acesso da população a medicamentos, promover o uso racional e qualificar a assistência farmacêutica no âmbito do SUS.</t>
  </si>
  <si>
    <t xml:space="preserve">Produto / Unidade de Medida </t>
  </si>
  <si>
    <r>
      <t>1.</t>
    </r>
    <r>
      <rPr>
        <sz val="7"/>
        <color theme="1"/>
        <rFont val="Times New Roman"/>
        <family val="1"/>
      </rPr>
      <t xml:space="preserve">        </t>
    </r>
    <r>
      <rPr>
        <sz val="9"/>
        <color theme="1"/>
        <rFont val="Calibri"/>
        <family val="2"/>
      </rPr>
      <t>Ampliar o "Aqui Tem Farmácia Popular" para pelo menos 83% dos municípios brasileiros que possuam farmácias e drogarias, priorizando os municípios do Plano Brasil Sem Miséria e do Programa Mais Médicos.</t>
    </r>
  </si>
  <si>
    <t>Município com farmácia ou drogaria credenciada (percentual)</t>
  </si>
  <si>
    <t>20YR 20YS</t>
  </si>
  <si>
    <r>
      <t>2.</t>
    </r>
    <r>
      <rPr>
        <sz val="7"/>
        <color theme="1"/>
        <rFont val="Times New Roman"/>
        <family val="1"/>
      </rPr>
      <t xml:space="preserve">        </t>
    </r>
    <r>
      <rPr>
        <sz val="9"/>
        <color theme="1"/>
        <rFont val="Calibri"/>
        <family val="2"/>
      </rPr>
      <t>Disponibilizar 3,0 UI de Fator VIII per capita (hemofilia A) e 0,8 UI de Fator IX per capita (hemofilia B), por ano, para atendimento aos pacientes portadores de doenças hemorrágicas hereditárias.</t>
    </r>
  </si>
  <si>
    <t>Fator VIII e Fator IX disponibilizados (Unidade Internacional – UI)</t>
  </si>
  <si>
    <t>3 UI de Fator VIII e 0,8 UI de Fator IX</t>
  </si>
  <si>
    <t>3,35 UI’s Fator VIII e 0,56 UI’s Fator IX</t>
  </si>
  <si>
    <t>3,0 UI de Fator VIII</t>
  </si>
  <si>
    <t>3,96 UI Fator VIII e 0,65 UI Fator IX</t>
  </si>
  <si>
    <t>4,0 UI de Fator VIII e 0,69 UI de Fator IX</t>
  </si>
  <si>
    <t>4,62 UI de Fator VIII e 0,63 UI de Fator IX</t>
  </si>
  <si>
    <t>e 0,8 UI de Fator IX</t>
  </si>
  <si>
    <r>
      <t>3.</t>
    </r>
    <r>
      <rPr>
        <sz val="7"/>
        <color theme="1"/>
        <rFont val="Times New Roman"/>
        <family val="1"/>
      </rPr>
      <t xml:space="preserve">        </t>
    </r>
    <r>
      <rPr>
        <sz val="9"/>
        <color theme="1"/>
        <rFont val="Calibri"/>
        <family val="2"/>
      </rPr>
      <t>Disponibilizar 100% dos medicamentos e insumos estratégicos adquiridos pelo Ministério da Saúde.</t>
    </r>
  </si>
  <si>
    <t>Medicamento e insumo estratégico distribuído (percentual)</t>
  </si>
  <si>
    <t>4368 20AE 4705</t>
  </si>
  <si>
    <r>
      <t>4.</t>
    </r>
    <r>
      <rPr>
        <sz val="7"/>
        <color theme="1"/>
        <rFont val="Times New Roman"/>
        <family val="1"/>
      </rPr>
      <t xml:space="preserve">        </t>
    </r>
    <r>
      <rPr>
        <sz val="9"/>
        <color theme="1"/>
        <rFont val="Calibri"/>
        <family val="2"/>
      </rPr>
      <t>Ampliar para pelo menos 60,32% a aquisição de medicamentos produzidos pela rede de laboratórios públicos destinados ao tratamento de doenças de perfil endêmico selecionadas.</t>
    </r>
  </si>
  <si>
    <t>Medicamento adquirido dos laboratórios públicos (percentual)</t>
  </si>
  <si>
    <t>21 pontos percentuais inferior à meta</t>
  </si>
  <si>
    <t>14 pontos percentuais superior ao previsto</t>
  </si>
  <si>
    <t>4368 20AE</t>
  </si>
  <si>
    <r>
      <t>5.</t>
    </r>
    <r>
      <rPr>
        <sz val="7"/>
        <color theme="1"/>
        <rFont val="Times New Roman"/>
        <family val="1"/>
      </rPr>
      <t xml:space="preserve">        </t>
    </r>
    <r>
      <rPr>
        <sz val="9"/>
        <color theme="1"/>
        <rFont val="Calibri"/>
        <family val="2"/>
      </rPr>
      <t>Implantar o Programa Nacional de Qualificação da Assistência Farmacêutica (Qualifar-SUS) em 63,09% dos municípios brasileiros.</t>
    </r>
  </si>
  <si>
    <t>Município com o Programa implantado (percentual)</t>
  </si>
  <si>
    <t>28,4%[1]</t>
  </si>
  <si>
    <t>20AH</t>
  </si>
  <si>
    <t>[1] Dados de 2016 e 2017 revisados.</t>
  </si>
  <si>
    <t xml:space="preserve">Objetivo 07. Promover a produção e a disseminação do conhecimento científico e tecnológico, análises de situação de saúde, inovação em saúde e a expansão da produção nacional de tecnologias estratégicas para o SUS. </t>
  </si>
  <si>
    <r>
      <t>1.</t>
    </r>
    <r>
      <rPr>
        <sz val="7"/>
        <color theme="1"/>
        <rFont val="Times New Roman"/>
        <family val="1"/>
      </rPr>
      <t xml:space="preserve">        </t>
    </r>
    <r>
      <rPr>
        <sz val="9"/>
        <color theme="1"/>
        <rFont val="Calibri"/>
        <family val="2"/>
      </rPr>
      <t>Ampliar de 1 para 9 o número de internalizações de tecnologias no SUS, produzidas por meio de parcerias para o desenvolvimento produtivo (PDP).</t>
    </r>
  </si>
  <si>
    <t>Tecnologia internalizada no SUS (unidade)</t>
  </si>
  <si>
    <t>2[1]</t>
  </si>
  <si>
    <r>
      <t>2.</t>
    </r>
    <r>
      <rPr>
        <sz val="7"/>
        <color theme="1"/>
        <rFont val="Times New Roman"/>
        <family val="1"/>
      </rPr>
      <t xml:space="preserve">        </t>
    </r>
    <r>
      <rPr>
        <sz val="9"/>
        <color theme="1"/>
        <rFont val="Calibri"/>
        <family val="2"/>
      </rPr>
      <t>Implementar o Acordo de Compensação Tecnológica (ACT), incluindo a construção de fábrica de aceleradores lineares, no âmbito do Plano de Expansão da Radioterapia no Sistema Único de Saúde (SUS).</t>
    </r>
  </si>
  <si>
    <t>ACT implementado (percentual)</t>
  </si>
  <si>
    <r>
      <t>3.</t>
    </r>
    <r>
      <rPr>
        <sz val="7"/>
        <color theme="1"/>
        <rFont val="Times New Roman"/>
        <family val="1"/>
      </rPr>
      <t xml:space="preserve">        </t>
    </r>
    <r>
      <rPr>
        <sz val="9"/>
        <color theme="1"/>
        <rFont val="Calibri"/>
        <family val="2"/>
      </rPr>
      <t>Desenvolver e/ou absorver através de Parcerias de Desenvolvimento Produtivo (PDP) 8 novos medicamentos.</t>
    </r>
  </si>
  <si>
    <t>Medicamento desenvolvido e/ou absorvido (unidade)</t>
  </si>
  <si>
    <r>
      <t>4.</t>
    </r>
    <r>
      <rPr>
        <sz val="7"/>
        <color theme="1"/>
        <rFont val="Times New Roman"/>
        <family val="1"/>
      </rPr>
      <t xml:space="preserve">        </t>
    </r>
    <r>
      <rPr>
        <sz val="9"/>
        <color theme="1"/>
        <rFont val="Calibri"/>
        <family val="2"/>
      </rPr>
      <t>Ampliar de 13 para pelo menos 18 o número de parques produtivos apoiados por meio do Programa para o Desenvolvimento do Complexo Industrial da Saúde (PROCIS).</t>
    </r>
  </si>
  <si>
    <t>Parque produtivo apoiado (unidade)</t>
  </si>
  <si>
    <t>11[2]</t>
  </si>
  <si>
    <t>8636 20K7</t>
  </si>
  <si>
    <r>
      <t>5.</t>
    </r>
    <r>
      <rPr>
        <sz val="7"/>
        <color theme="1"/>
        <rFont val="Times New Roman"/>
        <family val="1"/>
      </rPr>
      <t xml:space="preserve">        </t>
    </r>
    <r>
      <rPr>
        <sz val="9"/>
        <color theme="1"/>
        <rFont val="Calibri"/>
        <family val="2"/>
      </rPr>
      <t>Fomentar pesquisas científicas, tecnológicas e a inovação voltadas para a melhoria das condições de saúde da população brasileira e para o aprimoramento dos mecanismos e ferramentas de gestão, regulação e atenção à saúde no âmbito do SUS.</t>
    </r>
  </si>
  <si>
    <t>Pesquisa fomentada (unidade)</t>
  </si>
  <si>
    <t>6146 2B42</t>
  </si>
  <si>
    <r>
      <t>6.</t>
    </r>
    <r>
      <rPr>
        <sz val="7"/>
        <color theme="1"/>
        <rFont val="Times New Roman"/>
        <family val="1"/>
      </rPr>
      <t xml:space="preserve">        </t>
    </r>
    <r>
      <rPr>
        <sz val="9"/>
        <color theme="1"/>
        <rFont val="Calibri"/>
        <family val="2"/>
      </rPr>
      <t>Iniciar pelo menos 4 projetos de parcerias de pesquisa, desenvolvimento e inovação (P,D&amp;I), no âmbito das novas parcerias para o desenvolvimento produtivo (PDP).</t>
    </r>
  </si>
  <si>
    <t>Projeto de P,D&amp;I iniciado (unidade)</t>
  </si>
  <si>
    <r>
      <t>7.</t>
    </r>
    <r>
      <rPr>
        <sz val="7"/>
        <color theme="1"/>
        <rFont val="Times New Roman"/>
        <family val="1"/>
      </rPr>
      <t xml:space="preserve">        </t>
    </r>
    <r>
      <rPr>
        <sz val="9"/>
        <color theme="1"/>
        <rFont val="Calibri"/>
        <family val="2"/>
      </rPr>
      <t>Realizar 465 pesquisas na área de meio ambiente e medicina tropical.</t>
    </r>
  </si>
  <si>
    <t>Pesquisa em andamento/iniciada (unidade)</t>
  </si>
  <si>
    <t>20QF</t>
  </si>
  <si>
    <r>
      <t>8.</t>
    </r>
    <r>
      <rPr>
        <sz val="7"/>
        <color theme="1"/>
        <rFont val="Times New Roman"/>
        <family val="1"/>
      </rPr>
      <t xml:space="preserve">        </t>
    </r>
    <r>
      <rPr>
        <sz val="9"/>
        <color theme="1"/>
        <rFont val="Calibri"/>
        <family val="2"/>
      </rPr>
      <t>Elaborar e/ou revisar 50 protocolos clínicos e diretrizes terapêuticas (PCDT) para a produção do cuidado em saúde.</t>
    </r>
  </si>
  <si>
    <t>PCDT elaborados/revisados (unidade)</t>
  </si>
  <si>
    <t>23[3]</t>
  </si>
  <si>
    <t>20K3</t>
  </si>
  <si>
    <r>
      <t>9.</t>
    </r>
    <r>
      <rPr>
        <sz val="7"/>
        <color theme="1"/>
        <rFont val="Times New Roman"/>
        <family val="1"/>
      </rPr>
      <t xml:space="preserve">        </t>
    </r>
    <r>
      <rPr>
        <sz val="9"/>
        <color theme="1"/>
        <rFont val="Calibri"/>
        <family val="2"/>
      </rPr>
      <t>Disponibilizar 220 mil litros anuais de plasma para uso industrial e produção de medicamentos hemoderivados pela Hemobrás.</t>
    </r>
  </si>
  <si>
    <t>Plasma disponibilizado (litros)</t>
  </si>
  <si>
    <t>0[4]</t>
  </si>
  <si>
    <r>
      <t>10.</t>
    </r>
    <r>
      <rPr>
        <sz val="7"/>
        <color theme="1"/>
        <rFont val="Times New Roman"/>
        <family val="1"/>
      </rPr>
      <t xml:space="preserve">     </t>
    </r>
    <r>
      <rPr>
        <sz val="9"/>
        <color theme="1"/>
        <rFont val="Calibri"/>
        <family val="2"/>
      </rPr>
      <t>Executar 75% do processo de transferência de tecnologia dos hemoderivados, visando a produção pela Hemobrás.</t>
    </r>
  </si>
  <si>
    <t>Tecnologia de hemoderivados transferida (percentual)</t>
  </si>
  <si>
    <t>2 pontos percentuais inferior à meta</t>
  </si>
  <si>
    <t>146V</t>
  </si>
  <si>
    <t>[1] Dados de 2016 e 2017 atualizados.</t>
  </si>
  <si>
    <t>[2] Dados dos anos anteriores atualizados.</t>
  </si>
  <si>
    <t>[3] Dados de 2016 e 2017 revisados.</t>
  </si>
  <si>
    <t>[4] Coleta de plasma suspensa desde 2016 devido ao excesso de plasma armazenado pela Hemobrás. As novas coletas se darão após a contratação de um novo fracionador internacional e da celebração do contrato com o MS para a gestão da atividade.</t>
  </si>
  <si>
    <t>Objetivo 08. Aprimorar o marco regulatório e as ações de vigilância sanitária, para assegurar a proteção à saúde e o desenvolvimento sustentável do setor.</t>
  </si>
  <si>
    <r>
      <t>1.</t>
    </r>
    <r>
      <rPr>
        <sz val="7"/>
        <color theme="1"/>
        <rFont val="Times New Roman"/>
        <family val="1"/>
      </rPr>
      <t xml:space="preserve">        </t>
    </r>
    <r>
      <rPr>
        <sz val="9"/>
        <color theme="1"/>
        <rFont val="Calibri"/>
        <family val="2"/>
      </rPr>
      <t>Alcançar o patamar de 86,5% para as notificações de reações transfusionais concluídas pelo Sistema Nacional de Vigilância Sanitária.</t>
    </r>
  </si>
  <si>
    <t>Notificação de reações transfusionais concluída (percentual)</t>
  </si>
  <si>
    <t>88,3%[1]</t>
  </si>
  <si>
    <t>13 pontos percentuais superior ao previsto</t>
  </si>
  <si>
    <r>
      <t>2.</t>
    </r>
    <r>
      <rPr>
        <sz val="7"/>
        <color theme="1"/>
        <rFont val="Times New Roman"/>
        <family val="1"/>
      </rPr>
      <t xml:space="preserve">        </t>
    </r>
    <r>
      <rPr>
        <sz val="9"/>
        <color theme="1"/>
        <rFont val="Calibri"/>
        <family val="2"/>
      </rPr>
      <t>Reduzir o prazo médio da primeira manifestação para o registro de medicamentos inéditos para até 60 dias.</t>
    </r>
  </si>
  <si>
    <t>Tempo médio (em dias) da primeira manifestação para o registro de medicamentos genéricos inéditos (dia)</t>
  </si>
  <si>
    <t>60 dias</t>
  </si>
  <si>
    <t>34,1 dias</t>
  </si>
  <si>
    <r>
      <t>60</t>
    </r>
    <r>
      <rPr>
        <sz val="9"/>
        <color theme="1"/>
        <rFont val="Calibri"/>
        <family val="2"/>
      </rPr>
      <t xml:space="preserve"> dias</t>
    </r>
  </si>
  <si>
    <t>38 dias</t>
  </si>
  <si>
    <t>51 dias</t>
  </si>
  <si>
    <t>90 dias</t>
  </si>
  <si>
    <t>30 dias superior à meta</t>
  </si>
  <si>
    <t>30 dias superior ao previsto</t>
  </si>
  <si>
    <r>
      <t>3.</t>
    </r>
    <r>
      <rPr>
        <sz val="7"/>
        <color theme="1"/>
        <rFont val="Times New Roman"/>
        <family val="1"/>
      </rPr>
      <t xml:space="preserve">        </t>
    </r>
    <r>
      <rPr>
        <sz val="9"/>
        <color theme="1"/>
        <rFont val="Calibri"/>
        <family val="2"/>
      </rPr>
      <t>Aumentar para 60% a proporção dos atos normativos publicados pela Anvisa resultantes de sua Agenda Regulatória.</t>
    </r>
  </si>
  <si>
    <t>Ato normativo publicado – RDC e IN (percentual)</t>
  </si>
  <si>
    <t>31 pontos percentuais superior à meta</t>
  </si>
  <si>
    <t>21 pontos percentuais superior ao previsto</t>
  </si>
  <si>
    <r>
      <t>4.</t>
    </r>
    <r>
      <rPr>
        <sz val="7"/>
        <color theme="1"/>
        <rFont val="Times New Roman"/>
        <family val="1"/>
      </rPr>
      <t xml:space="preserve">        </t>
    </r>
    <r>
      <rPr>
        <sz val="9"/>
        <color theme="1"/>
        <rFont val="Calibri"/>
        <family val="2"/>
      </rPr>
      <t>Implementar em 10 Vigilâncias Sanitárias, estaduais e municipais, os procedimentos harmonizados em nível tripartite, visando o atendimento aos padrões internacionais de referência.</t>
    </r>
  </si>
  <si>
    <t>Vigilância Sanitária com os procedimentos harmonizados em nível tripartite implementados (unidade)</t>
  </si>
  <si>
    <r>
      <t>5.</t>
    </r>
    <r>
      <rPr>
        <sz val="7"/>
        <color theme="1"/>
        <rFont val="Times New Roman"/>
        <family val="1"/>
      </rPr>
      <t xml:space="preserve">        </t>
    </r>
    <r>
      <rPr>
        <sz val="9"/>
        <color theme="1"/>
        <rFont val="Calibri"/>
        <family val="2"/>
      </rPr>
      <t>Reavaliar 6 ingredientes ativos de produtos agrotóxicos já registrados, considerando novos indícios de risco à saúde humana.</t>
    </r>
  </si>
  <si>
    <t>Ingrediente ativo de produto agrotóxico reavaliado (unidade)</t>
  </si>
  <si>
    <t>2[2]</t>
  </si>
  <si>
    <t>[1] A apuração desta meta considera as notificações contadas a partir de 1º de outubro do ano anterior até 30 de setembro do ano corrente, sendo assim, os dados informados são relativos ao período de 01/10/2018 a 30/09/2019, apurados em 02/01/2020.</t>
  </si>
  <si>
    <t>[2] Foram concluídas as reavaliações dos ingredientes: 2,4-D (RDC n° 284/2019) e Tiram (RDC nº 320/2019).</t>
  </si>
  <si>
    <t>Objetivo 09. Aprimorar o marco regulatório da Saúde Suplementar, estimulando soluções inovadoras de fiscalização e gestão, voltadas para a eficiência, acesso e qualidade na atenção à saúde, considerando o desenvolvimento sustentável do setor.</t>
  </si>
  <si>
    <r>
      <t>1.</t>
    </r>
    <r>
      <rPr>
        <sz val="7"/>
        <color theme="1"/>
        <rFont val="Times New Roman"/>
        <family val="1"/>
      </rPr>
      <t xml:space="preserve">        </t>
    </r>
    <r>
      <rPr>
        <sz val="9"/>
        <color theme="1"/>
        <rFont val="Calibri"/>
        <family val="2"/>
      </rPr>
      <t>Disponibilizar para 100% dos beneficiários com o Cartão Nacional de Saúde o Registro Individualizado de Saúde.</t>
    </r>
  </si>
  <si>
    <t>Projeto desenvolvido (percentual)[1]</t>
  </si>
  <si>
    <t>5 pontos percentuais inferior à meta</t>
  </si>
  <si>
    <t>5 pontos percentuais inferior ao previsto</t>
  </si>
  <si>
    <t>4339 8727</t>
  </si>
  <si>
    <r>
      <t>2.</t>
    </r>
    <r>
      <rPr>
        <sz val="7"/>
        <color theme="1"/>
        <rFont val="Times New Roman"/>
        <family val="1"/>
      </rPr>
      <t xml:space="preserve">        </t>
    </r>
    <r>
      <rPr>
        <sz val="9"/>
        <color theme="1"/>
        <rFont val="Calibri"/>
        <family val="2"/>
      </rPr>
      <t>Alcançar o patamar de 70% no Índice de Desempenho da Saúde Suplementar.</t>
    </r>
  </si>
  <si>
    <t>IDSS alcançado (percentual)</t>
  </si>
  <si>
    <r>
      <t>3.</t>
    </r>
    <r>
      <rPr>
        <sz val="7"/>
        <color theme="1"/>
        <rFont val="Times New Roman"/>
        <family val="1"/>
      </rPr>
      <t xml:space="preserve">        </t>
    </r>
    <r>
      <rPr>
        <sz val="9"/>
        <color theme="1"/>
        <rFont val="Calibri"/>
        <family val="2"/>
      </rPr>
      <t>Estimular a adesão a novos modelos assistenciais, visando a redução anual do percentual de cesarianas nos serviços ofertados pela saúde suplementar.</t>
    </r>
  </si>
  <si>
    <t>Etapa cumprida (percentual)</t>
  </si>
  <si>
    <t>[1] Produto alterado de “Beneficiários com o Registro Individualizado de Saúde disponibilizado” para “Projeto desenvolvido”.</t>
  </si>
  <si>
    <t>[2] A divulgação dos resultados finais do IDSS 2019 (ano base 2018) está prevista para o para 1º trimestre de 2020. Dado de 2018 atualizado.</t>
  </si>
  <si>
    <t>Objetivo 10. Promover, para as necessidades do SUS, a formação, a educação permanente, a qualificação, a valorização dos trabalhadores, a desprecarização e a democratização das relações de trabalho.</t>
  </si>
  <si>
    <r>
      <t>1.</t>
    </r>
    <r>
      <rPr>
        <sz val="7"/>
        <color theme="1"/>
        <rFont val="Times New Roman"/>
        <family val="1"/>
      </rPr>
      <t xml:space="preserve">     </t>
    </r>
    <r>
      <rPr>
        <sz val="9"/>
        <color theme="1"/>
        <rFont val="Calibri"/>
        <family val="2"/>
      </rPr>
      <t>Alcançar 38.500 bolsistas beneficiados pelo Pró-Residência.</t>
    </r>
  </si>
  <si>
    <t>Bolsista beneficiado (unidade)</t>
  </si>
  <si>
    <t>20YD (PO 0003)</t>
  </si>
  <si>
    <r>
      <t>2.</t>
    </r>
    <r>
      <rPr>
        <sz val="7"/>
        <color theme="1"/>
        <rFont val="Times New Roman"/>
        <family val="1"/>
      </rPr>
      <t xml:space="preserve">     </t>
    </r>
    <r>
      <rPr>
        <sz val="9"/>
        <color theme="1"/>
        <rFont val="Calibri"/>
        <family val="2"/>
      </rPr>
      <t>Qualificar 380.000 profissionais de saúde e gestores em processos de educação, com foco na atenção básica, nas redes e programas prioritários.</t>
    </r>
  </si>
  <si>
    <t>Profissional de saúde e gestor qualificado (unidade)</t>
  </si>
  <si>
    <t>20YD (PO 0002) 20YD (PO 0004) 20YD (PO 0005) 20YD (PO 0006) 20YD (PO 000C)</t>
  </si>
  <si>
    <r>
      <t>3.</t>
    </r>
    <r>
      <rPr>
        <sz val="7"/>
        <color theme="1"/>
        <rFont val="Times New Roman"/>
        <family val="1"/>
      </rPr>
      <t xml:space="preserve">     </t>
    </r>
    <r>
      <rPr>
        <sz val="9"/>
        <color theme="1"/>
        <rFont val="Calibri"/>
        <family val="2"/>
      </rPr>
      <t>Realizar espaços de diálogo e formação com 100 parteiras de comunidades quilombolas, incluindo a distribuição de 100 kits para parteiras tradicionais e realizar 2 seminários envolvendo comunidades quilombolas, com participação de gestores, profissionais de saúde e lideranças das comunidades.</t>
    </r>
  </si>
  <si>
    <t>Parteira atuando em comunidade quilombola  (unidade)</t>
  </si>
  <si>
    <r>
      <t>4.</t>
    </r>
    <r>
      <rPr>
        <sz val="7"/>
        <color theme="1"/>
        <rFont val="Times New Roman"/>
        <family val="1"/>
      </rPr>
      <t xml:space="preserve">     </t>
    </r>
    <r>
      <rPr>
        <sz val="9"/>
        <color theme="1"/>
        <rFont val="Calibri"/>
        <family val="2"/>
      </rPr>
      <t>Promover a realização de experiências na realidade do SUS (VER-SUS) para 8 mil jovens a fim de que conheçam e reflitam sobre experiências concretas de implementação do SUS com o objetivo de atuarem para a mudança da formação, atenção, gestão e participação no e para o SUS nos locais em que vivem, se cuidam, estudam e trabalham.</t>
    </r>
  </si>
  <si>
    <t>Jovem beneficiado (unidade)</t>
  </si>
  <si>
    <t>20YD (PO 0004)</t>
  </si>
  <si>
    <r>
      <t>5.</t>
    </r>
    <r>
      <rPr>
        <sz val="7"/>
        <color theme="1"/>
        <rFont val="Times New Roman"/>
        <family val="1"/>
      </rPr>
      <t xml:space="preserve">     </t>
    </r>
    <r>
      <rPr>
        <sz val="9"/>
        <color theme="1"/>
        <rFont val="Calibri"/>
        <family val="2"/>
      </rPr>
      <t>Envolver 5 mil jovens em ações do Programa de Educação para o Trabalho na Saúde (PET-Saúde) a fim de que estudem, pratiquem e pesquisam ações de qualificação da educação em saúde, dos serviços de saúde e atuem em processo de transformação da graduação em saúde orientados pelas Diretrizes Curriculares e às necessidades da população brasileira e do SUS.</t>
    </r>
  </si>
  <si>
    <r>
      <t>6.</t>
    </r>
    <r>
      <rPr>
        <sz val="7"/>
        <color theme="1"/>
        <rFont val="Times New Roman"/>
        <family val="1"/>
      </rPr>
      <t xml:space="preserve">     </t>
    </r>
    <r>
      <rPr>
        <sz val="9"/>
        <color theme="1"/>
        <rFont val="Calibri"/>
        <family val="2"/>
      </rPr>
      <t>Garantir a formação técnica e processos de qualificação para que pelo menos 20 mil jovens possam se tornar e se qualificar como profissionais de saúde.</t>
    </r>
  </si>
  <si>
    <t>20YD (PO 0002)</t>
  </si>
  <si>
    <t>[1] Não houve edição para o VER-SUS em 2019, pois a meta já tinha sido alcançada.</t>
  </si>
  <si>
    <t>[2] Não houve novas pactuações para vagas no Mediotec/Pronatec em 2019, pois a meta já tinha sido alcançada.</t>
  </si>
  <si>
    <t>Objetivo 11. Fortalecer as instâncias do controle social e os canais de interação com o usuário, com garantia de transparência e participação cidadã.</t>
  </si>
  <si>
    <r>
      <t>1.</t>
    </r>
    <r>
      <rPr>
        <sz val="7"/>
        <color theme="1"/>
        <rFont val="Times New Roman"/>
        <family val="1"/>
      </rPr>
      <t xml:space="preserve">     </t>
    </r>
    <r>
      <rPr>
        <sz val="9"/>
        <color theme="1"/>
        <rFont val="Calibri"/>
        <family val="2"/>
      </rPr>
      <t>Capacitar 68.215 lideranças dos movimentos sociais de promoção de políticas de equidade, conselheiros de saúde, integrantes dos comitês de promoção de equidade, jovens, mulheres, gestores e trabalhadores da saúde em gestão participativa e controle social no SUS.</t>
    </r>
  </si>
  <si>
    <t>Pessoa capacitada (unidade)</t>
  </si>
  <si>
    <t>20YM</t>
  </si>
  <si>
    <r>
      <t>2.</t>
    </r>
    <r>
      <rPr>
        <sz val="7"/>
        <color theme="1"/>
        <rFont val="Times New Roman"/>
        <family val="1"/>
      </rPr>
      <t xml:space="preserve">     </t>
    </r>
    <r>
      <rPr>
        <sz val="9"/>
        <color theme="1"/>
        <rFont val="Calibri"/>
        <family val="2"/>
      </rPr>
      <t>Ampliar em 20% o número de ouvidorias do SUS.</t>
    </r>
  </si>
  <si>
    <t>Serviço de Ouvidoria implantado (percentual)</t>
  </si>
  <si>
    <t>5% (82)</t>
  </si>
  <si>
    <t>3,65% (60)</t>
  </si>
  <si>
    <t>10% (164)</t>
  </si>
  <si>
    <t>8,94% (147)</t>
  </si>
  <si>
    <t>15% (246)</t>
  </si>
  <si>
    <t>16,9% (278)[1]</t>
  </si>
  <si>
    <t>6182 (PO 0002)</t>
  </si>
  <si>
    <r>
      <t>3.</t>
    </r>
    <r>
      <rPr>
        <sz val="7"/>
        <color theme="1"/>
        <rFont val="Times New Roman"/>
        <family val="1"/>
      </rPr>
      <t xml:space="preserve">     </t>
    </r>
    <r>
      <rPr>
        <sz val="9"/>
        <color theme="1"/>
        <rFont val="Calibri"/>
        <family val="2"/>
      </rPr>
      <t>Implantar 20 comitês de políticas de promoção de equidade em saúde para populações em situação de vulnerabilidade social.</t>
    </r>
  </si>
  <si>
    <t>Comitê de Política de Promoção de Equidade em Saúde implantado (unidade)</t>
  </si>
  <si>
    <t xml:space="preserve">[1] Dado revisado. </t>
  </si>
  <si>
    <t>Objetivo 12. Aprimorar a relação interfederativa e a atuação do Ministério da Saúde como gestor federal do SUS.</t>
  </si>
  <si>
    <r>
      <t>1.</t>
    </r>
    <r>
      <rPr>
        <sz val="7"/>
        <color theme="1"/>
        <rFont val="Times New Roman"/>
        <family val="1"/>
      </rPr>
      <t xml:space="preserve">        </t>
    </r>
    <r>
      <rPr>
        <sz val="9"/>
        <color theme="1"/>
        <rFont val="Calibri"/>
        <family val="2"/>
      </rPr>
      <t>Apoiar os Estados, Municípios e Distrito Federal para que 100% dos Fundos de Saúde sejam instituídos por Lei e estejam em funcionamento.</t>
    </r>
  </si>
  <si>
    <t>Ente da federação apoiado (percentual)</t>
  </si>
  <si>
    <t xml:space="preserve">OK         </t>
  </si>
  <si>
    <t>2B52</t>
  </si>
  <si>
    <r>
      <t>2.</t>
    </r>
    <r>
      <rPr>
        <sz val="7"/>
        <color theme="1"/>
        <rFont val="Times New Roman"/>
        <family val="1"/>
      </rPr>
      <t xml:space="preserve">        </t>
    </r>
    <r>
      <rPr>
        <sz val="9"/>
        <color theme="1"/>
        <rFont val="Calibri"/>
        <family val="2"/>
      </rPr>
      <t>Implantar o e-Saúde no Brasil, com destaque para o Registro Eletrônico em Saúde (RES) e para os Centros de Inteligência para suporte às decisões dos gestores públicos e decisões clínicas dos profissionais de saúde.</t>
    </r>
  </si>
  <si>
    <t>Registro Eletrônico em Saúde (RES) implantado (unidade)</t>
  </si>
  <si>
    <t xml:space="preserve">- </t>
  </si>
  <si>
    <t>-[1]</t>
  </si>
  <si>
    <t>20YN (PO 0001)</t>
  </si>
  <si>
    <r>
      <t>3.</t>
    </r>
    <r>
      <rPr>
        <sz val="7"/>
        <color theme="1"/>
        <rFont val="Times New Roman"/>
        <family val="1"/>
      </rPr>
      <t xml:space="preserve">        </t>
    </r>
    <r>
      <rPr>
        <sz val="9"/>
        <color theme="1"/>
        <rFont val="Calibri"/>
        <family val="2"/>
      </rPr>
      <t>Implantar o Contrato Organizativo de Ação Pública da Saúde em 8,8% das regiões de saúde.</t>
    </r>
  </si>
  <si>
    <t>Regiões de saúde com COAP assinado (percentual)</t>
  </si>
  <si>
    <t>Não se aplica[2]</t>
  </si>
  <si>
    <t>Decisão da CIT se sobrepõe à meta do PNS aprovada pelo CNS?</t>
  </si>
  <si>
    <r>
      <t>4.</t>
    </r>
    <r>
      <rPr>
        <sz val="7"/>
        <color theme="1"/>
        <rFont val="Times New Roman"/>
        <family val="1"/>
      </rPr>
      <t xml:space="preserve">        </t>
    </r>
    <r>
      <rPr>
        <sz val="9"/>
        <color theme="1"/>
        <rFont val="Calibri"/>
        <family val="2"/>
      </rPr>
      <t>Implantar pelo menos 1 Núcleo de Economia, Informação, Monitoramento e Avaliação da Saúde (NEMAS) em cada região do País.</t>
    </r>
  </si>
  <si>
    <t>Núcleos Estaduais do Ministério da Saúde (NEMS) capacitados em ações de Monitoramento e Avaliação[3] (Unidade)</t>
  </si>
  <si>
    <r>
      <t>5.</t>
    </r>
    <r>
      <rPr>
        <sz val="7"/>
        <color theme="1"/>
        <rFont val="Times New Roman"/>
        <family val="1"/>
      </rPr>
      <t xml:space="preserve">        </t>
    </r>
    <r>
      <rPr>
        <sz val="9"/>
        <color theme="1"/>
        <rFont val="Calibri"/>
        <family val="2"/>
      </rPr>
      <t>Reduzir, anualmente, o prazo médio dos processos de aquisição de Insumos Estratégicos para Saúde (IES).</t>
    </r>
  </si>
  <si>
    <t>Prazo médio reduzido  (percentual)</t>
  </si>
  <si>
    <t>13%[4]</t>
  </si>
  <si>
    <t>6 pontos percentuais superior ao previsto</t>
  </si>
  <si>
    <r>
      <t>6.</t>
    </r>
    <r>
      <rPr>
        <sz val="7"/>
        <color theme="1"/>
        <rFont val="Times New Roman"/>
        <family val="1"/>
      </rPr>
      <t xml:space="preserve">        </t>
    </r>
    <r>
      <rPr>
        <sz val="9"/>
        <color theme="1"/>
        <rFont val="Calibri"/>
        <family val="2"/>
      </rPr>
      <t>Apoiar os entes da Federação para que 100% tenham Planos de Saúde.</t>
    </r>
  </si>
  <si>
    <t>Ente da federação com Plano de Saúde (percentual)</t>
  </si>
  <si>
    <t>75,37%[5]</t>
  </si>
  <si>
    <t>25 pontos percentuais inferior a meta</t>
  </si>
  <si>
    <t>15 pontos percentuais superior ao previsto</t>
  </si>
  <si>
    <r>
      <t>7.</t>
    </r>
    <r>
      <rPr>
        <sz val="7"/>
        <color theme="1"/>
        <rFont val="Times New Roman"/>
        <family val="1"/>
      </rPr>
      <t xml:space="preserve">        </t>
    </r>
    <r>
      <rPr>
        <sz val="9"/>
        <color theme="1"/>
        <rFont val="Calibri"/>
        <family val="2"/>
      </rPr>
      <t>Apoiar os entes da federação para que 90% tenham Conselhos de Saúde legalmente instituídos e em funcionamento.</t>
    </r>
  </si>
  <si>
    <t>Ente da federação com Conselho de Saúde em funcionamento (percentual)</t>
  </si>
  <si>
    <t>7 pontos percentuais inferior a meta</t>
  </si>
  <si>
    <t>7 pontos percentuais inferior ao previsto</t>
  </si>
  <si>
    <t xml:space="preserve">[1]  O e-Saúde engloba um conjunto de iniciativas de saúde digital, que visam aperfeiçoar a plataforma digital como ferramenta de promoção e acesso do cidadão a serviços de saúde.  </t>
  </si>
  <si>
    <t xml:space="preserve">[2] O processo de contratualização do COAP, em 2017, houve a decisão do plenário da CIT de instituir um Grupo de Trabalho para revisar o Decreto 7508/2011.  </t>
  </si>
  <si>
    <t>[3] Alterado de “Nº de instituições com cooperação formalizada para a implantação de NEMAS” para “Núcleos Estaduais do Ministério da Saúde (NEMS) capacitados em ações de Monitoramento e Avaliação”</t>
  </si>
  <si>
    <t>[4] Em 2018, verificou-se redução no tempo médio de tramitação dos processos de compras de insumos estratégicos para a saúde, de 192 dias em média em 2017 para 167 dias em 2018. Essa redução ocorreu de forma mais significativa no trâmite dos Pregões Eletrônicos que apresentou redução de cerca de 30% no tempo médio (de 219 dias para 155 dias.</t>
  </si>
  <si>
    <t>[5] Atualmente, 75,37% (4.217) dos entes federados possuem Planos de Saúde elaborados, o que correspondeu a 4.190 Planos Municipais, 26 Planos Estaduais e 1 Plano do Distrito Federal.</t>
  </si>
  <si>
    <t>Objetivo 13. Melhorar o padrão de gasto, qualificar o financiamento tripartite e os processos de transferência de recursos, na perspectiva do financiamento estável e sustentável do SUS.</t>
  </si>
  <si>
    <r>
      <t>1.</t>
    </r>
    <r>
      <rPr>
        <sz val="7"/>
        <color theme="1"/>
        <rFont val="Times New Roman"/>
        <family val="1"/>
      </rPr>
      <t xml:space="preserve">     </t>
    </r>
    <r>
      <rPr>
        <sz val="9"/>
        <color theme="1"/>
        <rFont val="Calibri"/>
        <family val="2"/>
      </rPr>
      <t>Fomentar o processo de discussão de metodologia de rateio dos recursos federais entre os entes federados a partir das responsabilidades sanitárias.</t>
    </r>
  </si>
  <si>
    <t>Processo de discussão de metodologia de rateio realizado</t>
  </si>
  <si>
    <r>
      <t>2.</t>
    </r>
    <r>
      <rPr>
        <sz val="7"/>
        <color theme="1"/>
        <rFont val="Times New Roman"/>
        <family val="1"/>
      </rPr>
      <t xml:space="preserve">     </t>
    </r>
    <r>
      <rPr>
        <sz val="9"/>
        <color theme="1"/>
        <rFont val="Calibri"/>
        <family val="2"/>
      </rPr>
      <t>Aumentar, anualmente, o ressarcimento dos planos de saúde ao SUS em decorrência das internações hospitalares e atendimentos ambulatoriais especializados.</t>
    </r>
  </si>
  <si>
    <t>Passivo analisado (percentual)</t>
  </si>
  <si>
    <t>99,97%[1]</t>
  </si>
  <si>
    <r>
      <t>3.</t>
    </r>
    <r>
      <rPr>
        <sz val="7"/>
        <color theme="1"/>
        <rFont val="Times New Roman"/>
        <family val="1"/>
      </rPr>
      <t xml:space="preserve">     </t>
    </r>
    <r>
      <rPr>
        <sz val="9"/>
        <color theme="1"/>
        <rFont val="Calibri"/>
        <family val="2"/>
      </rPr>
      <t>Aprimorar o processo de execução das emendas individuais, com ênfase na pactuação de critérios para projetos prioritários, na eficiência dos investimentos e na sustentabilidade do SUS.</t>
    </r>
  </si>
  <si>
    <t>Processo de execução de emendas aprimorado</t>
  </si>
  <si>
    <r>
      <t>4.</t>
    </r>
    <r>
      <rPr>
        <sz val="7"/>
        <color theme="1"/>
        <rFont val="Times New Roman"/>
        <family val="1"/>
      </rPr>
      <t xml:space="preserve">     </t>
    </r>
    <r>
      <rPr>
        <sz val="9"/>
        <color theme="1"/>
        <rFont val="Calibri"/>
        <family val="2"/>
      </rPr>
      <t>Instituir novas modalidades de repasse de recursos, induzindo linhas de cuidado integral para acesso às especialidades.</t>
    </r>
  </si>
  <si>
    <t>Modalidade de repasse de recursos implantada</t>
  </si>
  <si>
    <r>
      <t>5.</t>
    </r>
    <r>
      <rPr>
        <sz val="7"/>
        <color theme="1"/>
        <rFont val="Times New Roman"/>
        <family val="1"/>
      </rPr>
      <t xml:space="preserve">     </t>
    </r>
    <r>
      <rPr>
        <sz val="9"/>
        <color theme="1"/>
        <rFont val="Calibri"/>
        <family val="2"/>
      </rPr>
      <t>Reduzir, anualmente, o preço médio das aquisições contratuais baseadas em Parcerias para o Desenvolvimento Produtivo (PDP).</t>
    </r>
  </si>
  <si>
    <t>Preço médio da aquisição reduzido (percentual)</t>
  </si>
  <si>
    <t>[1] O monitoramento do índice de ressarcimento alcançado é medido pela redução do passivo de processos administrativos de ressarcimento dos planos de saúde ao SUS não analisados.</t>
  </si>
  <si>
    <t>Qtde Metas PNS</t>
  </si>
  <si>
    <t>Metas Cumpridas 2019 &gt; Metas 2018</t>
  </si>
  <si>
    <t>Metas não Cumpridas 2019 &gt; Metas 2018</t>
  </si>
  <si>
    <t>Metas não Cumpridas 2019 &lt; Metas 2018</t>
  </si>
  <si>
    <t>Metas não Cumpridas 2019 = Metas 2018</t>
  </si>
  <si>
    <t>Metas Cumpridas 2019 &lt; Metas 2018</t>
  </si>
  <si>
    <t>Metas Cumpridas 2019 = Metas 2018</t>
  </si>
  <si>
    <t>RESUMO</t>
  </si>
  <si>
    <t>O Plano Nacional de Saúde é composto por 13 objetivos e 121 metas que são avaliadas anualmente por meio da Programação Anual de Saúde. Na avaliação do Relatório Anual de Gestão de 2019 foi identificada a seguinte situação:</t>
  </si>
  <si>
    <t>PROPOSTA DE RECOMENDAÇÕES</t>
  </si>
  <si>
    <r>
      <t xml:space="preserve">Metas de 2019 realizadas a menor do que em 2018: </t>
    </r>
    <r>
      <rPr>
        <b/>
        <i/>
        <sz val="12"/>
        <color theme="1"/>
        <rFont val="Calibri"/>
        <family val="2"/>
        <scheme val="minor"/>
      </rPr>
      <t>28%</t>
    </r>
    <r>
      <rPr>
        <b/>
        <i/>
        <sz val="10"/>
        <color theme="1"/>
        <rFont val="Calibri"/>
        <family val="2"/>
        <scheme val="minor"/>
      </rPr>
      <t xml:space="preserve"> (34/121)</t>
    </r>
  </si>
  <si>
    <r>
      <t xml:space="preserve">Metas de 2019 realizadas a maior do que em 2018: </t>
    </r>
    <r>
      <rPr>
        <b/>
        <i/>
        <sz val="12"/>
        <color theme="1"/>
        <rFont val="Calibri"/>
        <family val="2"/>
        <scheme val="minor"/>
      </rPr>
      <t>48%</t>
    </r>
    <r>
      <rPr>
        <b/>
        <i/>
        <sz val="10"/>
        <color theme="1"/>
        <rFont val="Calibri"/>
        <family val="2"/>
        <scheme val="minor"/>
      </rPr>
      <t xml:space="preserve"> (58/121)</t>
    </r>
  </si>
  <si>
    <r>
      <t>Metas de 2019 realizadas igualmente a 2018:</t>
    </r>
    <r>
      <rPr>
        <b/>
        <i/>
        <sz val="12"/>
        <color theme="1"/>
        <rFont val="Calibri"/>
        <family val="2"/>
        <scheme val="minor"/>
      </rPr>
      <t xml:space="preserve"> 11%</t>
    </r>
    <r>
      <rPr>
        <b/>
        <i/>
        <sz val="10"/>
        <color theme="1"/>
        <rFont val="Calibri"/>
        <family val="2"/>
        <scheme val="minor"/>
      </rPr>
      <t xml:space="preserve"> (13/121)</t>
    </r>
  </si>
  <si>
    <t>CONCLUSÕES</t>
  </si>
  <si>
    <r>
      <rPr>
        <b/>
        <i/>
        <u/>
        <sz val="12"/>
        <color theme="1"/>
        <rFont val="Calibri"/>
        <family val="2"/>
        <scheme val="minor"/>
      </rPr>
      <t>Metas cumpridas 38%</t>
    </r>
    <r>
      <rPr>
        <i/>
        <sz val="12"/>
        <color theme="1"/>
        <rFont val="Calibri"/>
        <family val="2"/>
        <scheme val="minor"/>
      </rPr>
      <t xml:space="preserve">; </t>
    </r>
    <r>
      <rPr>
        <b/>
        <i/>
        <u/>
        <sz val="12"/>
        <color theme="1"/>
        <rFont val="Calibri"/>
        <family val="2"/>
        <scheme val="minor"/>
      </rPr>
      <t>metas não cumpridas 49%</t>
    </r>
    <r>
      <rPr>
        <i/>
        <sz val="12"/>
        <color theme="1"/>
        <rFont val="Calibri"/>
        <family val="2"/>
        <scheme val="minor"/>
      </rPr>
      <t xml:space="preserve"> e </t>
    </r>
    <r>
      <rPr>
        <b/>
        <i/>
        <u/>
        <sz val="12"/>
        <color theme="1"/>
        <rFont val="Calibri"/>
        <family val="2"/>
        <scheme val="minor"/>
      </rPr>
      <t>13% das metas não foram possíveis serem avaliadas</t>
    </r>
    <r>
      <rPr>
        <i/>
        <sz val="12"/>
        <color theme="1"/>
        <rFont val="Calibri"/>
        <family val="2"/>
        <scheme val="minor"/>
      </rPr>
      <t xml:space="preserve">. </t>
    </r>
    <r>
      <rPr>
        <i/>
        <u/>
        <sz val="12"/>
        <color theme="1"/>
        <rFont val="Calibri"/>
        <family val="2"/>
        <scheme val="minor"/>
      </rPr>
      <t>Das metas cumpridas em relação a 2018</t>
    </r>
    <r>
      <rPr>
        <i/>
        <sz val="12"/>
        <color theme="1"/>
        <rFont val="Calibri"/>
        <family val="2"/>
        <scheme val="minor"/>
      </rPr>
      <t xml:space="preserve">, </t>
    </r>
    <r>
      <rPr>
        <b/>
        <i/>
        <sz val="12"/>
        <color theme="1"/>
        <rFont val="Calibri"/>
        <family val="2"/>
        <scheme val="minor"/>
      </rPr>
      <t>65% foram superiores</t>
    </r>
    <r>
      <rPr>
        <i/>
        <sz val="12"/>
        <color theme="1"/>
        <rFont val="Calibri"/>
        <family val="2"/>
        <scheme val="minor"/>
      </rPr>
      <t xml:space="preserve">, </t>
    </r>
    <r>
      <rPr>
        <b/>
        <i/>
        <sz val="12"/>
        <color theme="1"/>
        <rFont val="Calibri"/>
        <family val="2"/>
        <scheme val="minor"/>
      </rPr>
      <t>20% foram inferiores</t>
    </r>
    <r>
      <rPr>
        <i/>
        <sz val="12"/>
        <color theme="1"/>
        <rFont val="Calibri"/>
        <family val="2"/>
        <scheme val="minor"/>
      </rPr>
      <t xml:space="preserve"> e </t>
    </r>
    <r>
      <rPr>
        <b/>
        <i/>
        <sz val="12"/>
        <color theme="1"/>
        <rFont val="Calibri"/>
        <family val="2"/>
        <scheme val="minor"/>
      </rPr>
      <t>15% iguais</t>
    </r>
    <r>
      <rPr>
        <i/>
        <sz val="12"/>
        <color theme="1"/>
        <rFont val="Calibri"/>
        <family val="2"/>
        <scheme val="minor"/>
      </rPr>
      <t xml:space="preserve">. </t>
    </r>
    <r>
      <rPr>
        <i/>
        <u/>
        <sz val="12"/>
        <color theme="1"/>
        <rFont val="Calibri"/>
        <family val="2"/>
        <scheme val="minor"/>
      </rPr>
      <t>Das  metas não cumpridas em relação a 2018</t>
    </r>
    <r>
      <rPr>
        <i/>
        <sz val="12"/>
        <color theme="1"/>
        <rFont val="Calibri"/>
        <family val="2"/>
        <scheme val="minor"/>
      </rPr>
      <t xml:space="preserve">, </t>
    </r>
    <r>
      <rPr>
        <b/>
        <i/>
        <sz val="12"/>
        <color theme="1"/>
        <rFont val="Calibri"/>
        <family val="2"/>
        <scheme val="minor"/>
      </rPr>
      <t>47% foram superiores</t>
    </r>
    <r>
      <rPr>
        <i/>
        <sz val="12"/>
        <color theme="1"/>
        <rFont val="Calibri"/>
        <family val="2"/>
        <scheme val="minor"/>
      </rPr>
      <t xml:space="preserve">, </t>
    </r>
    <r>
      <rPr>
        <b/>
        <i/>
        <sz val="12"/>
        <color theme="1"/>
        <rFont val="Calibri"/>
        <family val="2"/>
        <scheme val="minor"/>
      </rPr>
      <t>42% foram inferiores</t>
    </r>
    <r>
      <rPr>
        <i/>
        <sz val="12"/>
        <color theme="1"/>
        <rFont val="Calibri"/>
        <family val="2"/>
        <scheme val="minor"/>
      </rPr>
      <t xml:space="preserve"> e </t>
    </r>
    <r>
      <rPr>
        <b/>
        <i/>
        <sz val="12"/>
        <color theme="1"/>
        <rFont val="Calibri"/>
        <family val="2"/>
        <scheme val="minor"/>
      </rPr>
      <t>10% iguais</t>
    </r>
    <r>
      <rPr>
        <i/>
        <sz val="12"/>
        <color theme="1"/>
        <rFont val="Calibri"/>
        <family val="2"/>
        <scheme val="minor"/>
      </rPr>
      <t xml:space="preserve">. </t>
    </r>
    <r>
      <rPr>
        <i/>
        <u/>
        <sz val="12"/>
        <color theme="1"/>
        <rFont val="Calibri"/>
        <family val="2"/>
        <scheme val="minor"/>
      </rPr>
      <t>As metas propostas para 2019 em relação a 2018, em termos quantitativos,</t>
    </r>
    <r>
      <rPr>
        <b/>
        <i/>
        <sz val="12"/>
        <color theme="1"/>
        <rFont val="Calibri"/>
        <family val="2"/>
        <scheme val="minor"/>
      </rPr>
      <t xml:space="preserve"> foram superiores em 48%</t>
    </r>
    <r>
      <rPr>
        <i/>
        <sz val="12"/>
        <color theme="1"/>
        <rFont val="Calibri"/>
        <family val="2"/>
        <scheme val="minor"/>
      </rPr>
      <t xml:space="preserve">, </t>
    </r>
    <r>
      <rPr>
        <b/>
        <i/>
        <sz val="12"/>
        <color theme="1"/>
        <rFont val="Calibri"/>
        <family val="2"/>
        <scheme val="minor"/>
      </rPr>
      <t>foram inferiores em 28%</t>
    </r>
    <r>
      <rPr>
        <i/>
        <sz val="12"/>
        <color theme="1"/>
        <rFont val="Calibri"/>
        <family val="2"/>
        <scheme val="minor"/>
      </rPr>
      <t xml:space="preserve"> e </t>
    </r>
    <r>
      <rPr>
        <b/>
        <i/>
        <sz val="12"/>
        <color theme="1"/>
        <rFont val="Calibri"/>
        <family val="2"/>
        <scheme val="minor"/>
      </rPr>
      <t>iguais em 11%</t>
    </r>
    <r>
      <rPr>
        <i/>
        <sz val="12"/>
        <color theme="1"/>
        <rFont val="Calibri"/>
        <family val="2"/>
        <scheme val="minor"/>
      </rPr>
      <t>.</t>
    </r>
  </si>
  <si>
    <t>Observou-se que muitos dos indicadores formulados não são de aplicação direta do Ministério da Saúde. Dependem de ações a serem realizadas pelos Estados, Municípios e pelo Distrito Federal. Como não há explicações objetivas que demonstrem a motivação para o não cumprimento de metas, entende-se que há fragilidade nas ações de monitoramento e avaliação por parte do Ministério da Saúde e/ou as metas não estão bem formuladas. Neste sentido recomenda-se que as metas sejam readequadas conceitualmente e operacionalmente a fim de possibilitar uma análise conclusiva de seus desempenhos.</t>
  </si>
  <si>
    <t>Adequada</t>
  </si>
  <si>
    <t>Regular</t>
  </si>
  <si>
    <t>Inadequada</t>
  </si>
  <si>
    <t>Intolerável</t>
  </si>
  <si>
    <t>Inaceitável</t>
  </si>
  <si>
    <t>Execução Orçamentária - Empenho</t>
  </si>
  <si>
    <t>Execução Financeira - Liquidação</t>
  </si>
  <si>
    <r>
      <rPr>
        <b/>
        <i/>
        <sz val="12"/>
        <color theme="1"/>
        <rFont val="Calibri"/>
        <family val="2"/>
        <scheme val="minor"/>
      </rPr>
      <t>A execução orçamentária</t>
    </r>
    <r>
      <rPr>
        <i/>
        <sz val="12"/>
        <color theme="1"/>
        <rFont val="Calibri"/>
        <family val="2"/>
        <scheme val="minor"/>
      </rPr>
      <t xml:space="preserve">, empenhamento da despesa no exercício de 2019, se mostrou </t>
    </r>
    <r>
      <rPr>
        <b/>
        <i/>
        <sz val="12"/>
        <color theme="1"/>
        <rFont val="Calibri"/>
        <family val="2"/>
        <scheme val="minor"/>
      </rPr>
      <t>80% satisfatória;</t>
    </r>
  </si>
  <si>
    <r>
      <rPr>
        <b/>
        <i/>
        <sz val="12"/>
        <color theme="1"/>
        <rFont val="Calibri"/>
        <family val="2"/>
        <scheme val="minor"/>
      </rPr>
      <t>A execução financeira</t>
    </r>
    <r>
      <rPr>
        <i/>
        <sz val="12"/>
        <color theme="1"/>
        <rFont val="Calibri"/>
        <family val="2"/>
        <scheme val="minor"/>
      </rPr>
      <t xml:space="preserve">, liquidação dos empenhos realizados no exercício de 2019, se mostrou </t>
    </r>
    <r>
      <rPr>
        <b/>
        <i/>
        <sz val="12"/>
        <color theme="1"/>
        <rFont val="Calibri"/>
        <family val="2"/>
        <scheme val="minor"/>
      </rPr>
      <t>63% satisfatória</t>
    </r>
    <r>
      <rPr>
        <i/>
        <sz val="12"/>
        <color theme="1"/>
        <rFont val="Calibri"/>
        <family val="2"/>
        <scheme val="minor"/>
      </rPr>
      <t>;</t>
    </r>
  </si>
  <si>
    <t>Metas Cumpridas 2019</t>
  </si>
  <si>
    <t>Metas não Cumpridas 2019</t>
  </si>
  <si>
    <t>Metas não Avaliadas 2019</t>
  </si>
  <si>
    <t>CONTRIBUIÇÕES RECEBIDAS DAS COMISSÕES</t>
  </si>
  <si>
    <t>COFIN/CNS</t>
  </si>
  <si>
    <t>COMENTÁRIO E/OU QUESTIONAMENTO</t>
  </si>
  <si>
    <t>Objetivo 7: Lenir Santos Antonio Junior - A gestão do plasma foi retirada da Hemobrás em 2017 pela Portaria 922, de 4 de abril de 2017 do Ministério da Saúde. Em julho de 2020 o MS devolveu à Hemobras essa sua atribuição legal (Portaria n. 1710, 8 de julho de 2020).</t>
  </si>
  <si>
    <t xml:space="preserve">Objetivo x: </t>
  </si>
  <si>
    <t>COMISSÃO A</t>
  </si>
  <si>
    <t>COMISSÃO B</t>
  </si>
  <si>
    <t>COMISSÃO C</t>
  </si>
  <si>
    <t>COMISSÃO D</t>
  </si>
  <si>
    <t>COMISSÃO E</t>
  </si>
  <si>
    <t>Observações SPO/MS</t>
  </si>
  <si>
    <t>Meta Cumulativa. 
Meta: 684. Realizado PNS: 267 (nota).  Sem justificativa no RAG. 39,03% PNS e 78,33% na PAS.</t>
  </si>
  <si>
    <t>Meta Não Cumulativa.
Meta PNS: 345. Realizado PNS: 288. Sem justificativa no RAG. 83,47% no PNS e PAS.</t>
  </si>
  <si>
    <t>Meta Cumulativa.
PNS: 91,2%; PAS 2019: 128,6%.</t>
  </si>
  <si>
    <t>Nota de Rodapé nº 18 RAG. Meta: 55 Hospitais, sendo 8 do MS. Regras do REHUF não permitiu o cumprimento da meta.</t>
  </si>
  <si>
    <t>Meta Cumulativa. 
Meta PNS: 650. Realizado PNS: 936. Previsto PAS 2019: 196. Realizado PAS 2019: 735.</t>
  </si>
  <si>
    <t>Meta Cumulativa.
PAS 2019 Prevista: 6
PAS 2019 Realizada: 25
PNS Previsto: 18
PNS Realizado: 49 Unidades Especializada com DRC habilitada</t>
  </si>
  <si>
    <t>Meta Cumulativa.
PAS Prevista 2019: 51
PAS Realizada 2019: 31 (60,8% )Centro Especializado em Reabilitação - CER implantado
PNS Prevista : 98 
PNS Realizada: 112 (114,28%)
Detalhes nas Informações Adicionais do RAG.</t>
  </si>
  <si>
    <t>Meta Cumulativa.
Alcançado 6 de 26 (23,07%). Justificativa: Nota de rodapé.</t>
  </si>
  <si>
    <t>Meta Não Cumulativa.
Realizada: 335.072
Alcance: 101,54% (PNS e PAS 2019)</t>
  </si>
  <si>
    <t>Meta Não Cumulativa.
Justificativa na nota de rodapé. PAS 2019 mudou a produto.</t>
  </si>
  <si>
    <t>Meta Não Cumulativa.
Linha de Base: 33 casos. Meta PNS: reduzir para 17. Realizado PAS: 11.</t>
  </si>
  <si>
    <t xml:space="preserve">Meta Cumulativa.
Meta PNS: 2000. Realizado PNS: 2.256. </t>
  </si>
  <si>
    <t>Meta Cumulativa.
Nota de rodapé (13). Fonte: Pnad. Difícil mensuração.</t>
  </si>
  <si>
    <t>Meta Cumulativa.
Nota de rodapé (13). O número correto é 2.753. o 27 é da nota. Fonte: Pnad. Difícil mensuração.</t>
  </si>
  <si>
    <t>Meta Cumulativa.
Nota de rodapé (12). Fonte: Pnad. Difícil mensuração.</t>
  </si>
  <si>
    <t>Meta Cumulativa.
Meta PNS: 11. Realizado PNS 18. 
Realizado PAS 2019: 10.</t>
  </si>
  <si>
    <t>Meta Não Cumulativa.
São 2 metas em 1. O Fator VIII superou a meta, enquanto que o Fator IX não alcançou. 
Justificativa nas informações adicionais.</t>
  </si>
  <si>
    <t>Meta Não Cumulativa.
Justificativa nas Informações Adicionais.</t>
  </si>
  <si>
    <t>Meta Não Cumulativa.
Justificativa nas informações adicionais.</t>
  </si>
  <si>
    <t>Meta Cumulativa.
PNS Previsto: 960.
PNS Alcançado: 989. 103,02%</t>
  </si>
  <si>
    <t>Meta Cumulativa.
PNS Prevista: 50. 
PNS Realizada: 99. 
PAS 2019 Realizada: 23.</t>
  </si>
  <si>
    <t>Meta Cumulativa.
Meta PNS: 6. 
Realizado PNS: 6. 
Realizado PAS 2019: 2.</t>
  </si>
  <si>
    <t>Meta Cumulativa.
Total de profissionais e gestores de saúde capacitados: 1.250.473.</t>
  </si>
  <si>
    <t>Meta Cumulativa.
Realizado por ano:
2016: 2.666
2017: 2.822
2018: 2.791
2019: 6.486
PNS: 14.765</t>
  </si>
  <si>
    <t>Meta Não cumulativa.
Linha de base = 1.644
PAS 2019: 54
PNS: 332</t>
  </si>
  <si>
    <t>Meta qualitativa.
Verificar Informações Adicionais.</t>
  </si>
  <si>
    <t>Meta descontinuada.
Informações Adicionais</t>
  </si>
  <si>
    <t>Meta Não Cumulativa.
PAS 2019 Realizada: 76,91%
Fonte: &lt;http://www.ans.gov.br/aans/noticias-ans/qualidade-da-saude/5441-ans-divulga-resultados-do-desempenho-das-operadoras-no-ano-base-2018&gt;, acesso em 4/9/2020.</t>
  </si>
  <si>
    <t>Meta Cumulativa.
Meta PNS Prevista: 16%
Meta PNS realizada: 26,60%
Linha de base: 1,03%.
Os preços unitários dos medicamentos baseados em Parceria para o Desenvolvimento Produtivo (PDP) devem ser menores em valores reais, a cada ano. Portanto, a proposta é negociar todos os anos os processos para que, mesmo com os índices oficiais positivos, o preço unitário seja inferior ao ano anterior.</t>
  </si>
  <si>
    <t>Meta Não Cumulativa.
Meta PNS: analisar 88,68% de passivo estático.
Linha de base (31/12/2015): o passivo estático de atendimentos realizados no SUS, por usuários que possuem plano de saúde, era de 729.870 atendimentos não analisados em 1ª instância, e de 287.247 atendimentos não analisados em 2ª instância, totalizando 1.017.117 atendimentos não analisados.</t>
  </si>
  <si>
    <t>Meta Cumulativa.
Previsto Plano: 5
Realizado Plano: 10+5 = 15
OBS: Houve ajuste no produto da meta para 2018 e foi redefinida o previsto para o final do plano = 5. 
Informações Adicionais.</t>
  </si>
  <si>
    <t>Anos</t>
  </si>
  <si>
    <t>Receita Corrente Líquida¹ - RCL                             (R$ milhões)</t>
  </si>
  <si>
    <t>RCL                                      (R$ de 2019² por habitante)</t>
  </si>
  <si>
    <t>Piso³ ASPS                    (R$ 1,00 de 2019² por habitante)</t>
  </si>
  <si>
    <t>Piso/ RCL</t>
  </si>
  <si>
    <t>Empenhado (R$ milhões)</t>
  </si>
  <si>
    <t>Empenhado per capita  (R$ 1,00 de 2019² por habitante)</t>
  </si>
  <si>
    <t>Empe-nhado/ RCL</t>
  </si>
  <si>
    <t>335.072[3]</t>
  </si>
  <si>
    <t>NA</t>
  </si>
  <si>
    <r>
      <t>Superior a 2018 (54%/52,5%)-1=</t>
    </r>
    <r>
      <rPr>
        <b/>
        <sz val="10"/>
        <color theme="1"/>
        <rFont val="Calibri"/>
        <family val="2"/>
        <scheme val="minor"/>
      </rPr>
      <t>2,9%</t>
    </r>
    <r>
      <rPr>
        <sz val="10"/>
        <color theme="1"/>
        <rFont val="Calibri"/>
        <family val="2"/>
        <scheme val="minor"/>
      </rPr>
      <t xml:space="preserve"> em 2018
(19,8%/17,9%)-1=</t>
    </r>
    <r>
      <rPr>
        <b/>
        <sz val="10"/>
        <color theme="1"/>
        <rFont val="Calibri"/>
        <family val="2"/>
        <scheme val="minor"/>
      </rPr>
      <t>10,6%</t>
    </r>
    <r>
      <rPr>
        <sz val="10"/>
        <color theme="1"/>
        <rFont val="Calibri"/>
        <family val="2"/>
        <scheme val="minor"/>
      </rPr>
      <t xml:space="preserve"> em 2019</t>
    </r>
  </si>
  <si>
    <t>superior a 2019</t>
  </si>
  <si>
    <t>76,91%[2]</t>
  </si>
  <si>
    <t>Cumpriu a meta</t>
  </si>
  <si>
    <t>meta cancelada</t>
  </si>
  <si>
    <t>ESCLARECIMENTOS DA SPO/MS PARA COFIN EM 04/09/2020</t>
  </si>
  <si>
    <t>COMISSÃO DE ORÇAMENTO E FINANCIAMENTO DO CONSELHO NACIONAL DA SAÚDE (Cofin/CNS) - ANÁLISE DO RAG 2019 - METAS DA PAS 2019 E DO PLANO NACIONAL DE SAÚDE 2016-2019 - PREVISTAS X REALIZADAS</t>
  </si>
  <si>
    <t>PEDIDO DE ESCLARECIMENTO AO MINISTÉRIO DA SAÚDE (ENVIO EM 09/11/2020)</t>
  </si>
  <si>
    <t>OB1.M1.1 (04-07-14) Quais foram os motivos para o MS não ter cumprido a meta (PAS2019 E PNS)?</t>
  </si>
  <si>
    <t>OB1.M2.1 (04-07-12-14)  Quais foram os motivos para o MS não ter cumprido a meta (PAS2019 E PNS)?</t>
  </si>
  <si>
    <t>OB1.M3.1 (04-14)  Quais foram os motivos para o MS não ter cumprido a meta (PNS)?</t>
  </si>
  <si>
    <t>OB1.M4.1 (04-07-09-14) Quais foram os motivos para o MS não ter cumprido a meta?                              OB1.M4.2 (12) Por que houve mudança da meta inicialmente aprovada?</t>
  </si>
  <si>
    <t>OB1.M5.1 (04-07-09-12-14) Quais foram os motivos para o MS não ter cumprido a meta?</t>
  </si>
  <si>
    <t>OB1.M7.1 (04-07-09-14) Quais foram os motivos para o MS não ter cumprido a meta (PAS2019 E PNS)?</t>
  </si>
  <si>
    <t>OB1.M6.1 (04-06-07-14) Quais foram os motivos para o MS não ter cumprido a meta (PAS2019 E PNS)?                                                                                                                                                                  OB2.M6.2 (04)Como estão sendo preenchidas as  8.517 vagas ofertadas, pois seriam suficientes para atingir a meta original de 20.335?                                                                                                                   OB1.M6.3 (07-14) Solicitamos esclarecimentos por parte do MS acerca do provimento para preenchimento desses vazios assistenciais, haja vista o descumprimento das metas pactuadas para 2019                                                                                                                                                                   OB1.M6.4 (09) Dados não conferem com a realidade. Comissão solicita maiores informações sobre esses dados estratificados por estado e munícipios do país                                                                  OB1.M6.5 (12) Por que houve redução da meta e o que  será feito para suprir a necessidade de alocação de médicos para a população que ficou desassistida?</t>
  </si>
  <si>
    <t>OB1.M8.1 (09) Por que houve redução da realização de 2019 comparada a de 2018?</t>
  </si>
  <si>
    <t>OB1.M10.1 (13) Extratificar quais foram os públicos-alvo que foram prejudicados pelo não cumprimento da meta do PNS.</t>
  </si>
  <si>
    <t>OB1.M13.1 (04-09-12-14) Quais foram os motivos para o MS não ter cumprido a meta (PAS2019 E PNS)?                                                                                                                                                                  OB1.M13.2 (04) Indicar se TODAS as bolsas coletadas foram testadas e se existiam testes disponíveis para tal - não deveriamos neste caso medir efetividade contra uma estimativa.                        OB1.M13.3 (13) Especificar se a porcentagem faltosa foi para HIV, HCV ou HBV.</t>
  </si>
  <si>
    <t>OB1.M14.1 (04-07-09-12-14) Quais foram os motivos para o MS não ter cumprido a meta (PAS2019 E PNS)?                                                                                                                                                                   OB1.M14.2 Houve restabelecimento do incentivo às centrais de regulação?</t>
  </si>
  <si>
    <t>OB1.M15.1 (04-07-09-14) Quais foram os motivos para o MS não ter cumprido a meta (PAS2019 E PNS)?                                                                                                                                                                OB1.M15.2 (04-12) Mesmo com a redução de 19.000 para 5.000 UBS, justificar essas 'novas possibilidades' em curso desde interrupção em set-2016 e porque o contrato foi interrompido em 2016 e até o momento o processo não foi restabelecido?                                                                    OB1.M15.3 (13) O problema foi com a notificação da operadora de internet ou com o sinal?</t>
  </si>
  <si>
    <t>OB1.M19.1 (04-09-14) Quais foram os motivos para o MS não ter cumprido a meta (PAS2019 E PNS)?</t>
  </si>
  <si>
    <t>OB2.M1.1 (04-07-09-13) Quais foram os motivos para o MS não ter cumprido a meta (PAS2019 E PNS) e, especialmente, Por qual motivo as compras só foram aprovadas em 2019, não autorizando nos 4 anos anteriores? Quantas crianças foram diagnosticadas tardiamente tendo um custo maior para o SUS por conta do não cumprimento dessa meta?</t>
  </si>
  <si>
    <t>OB2.M2.1 (09) Considerando que houve o cumprimento das metas (PAS2019 E PNS), o que explica a ampla desasistência à saúde sexual e reprodutiva das mulheres?</t>
  </si>
  <si>
    <t>OB2.M3.1 (07) Quais foram os motivos para o MS não ter cumprido a meta (PAS2019 E PNS)?                                         OB2.M3.2 (07) Informações sobre as regiões onde os serviços foram habilitados.</t>
  </si>
  <si>
    <t>OB2.M5.1 (07) Informações onde foram implantadas                                                                            OB2.M5.2 (13) implantar significa que o aparelhamento necessário para a rotina dos serviços de saúde também está 100% entregue e funcionando? Em caso negativo, explicar a situação existente.</t>
  </si>
  <si>
    <t xml:space="preserve">OB2.M7.1 (04-07-09) Quais foram os motivos para o MS não ter cumprido a meta (PAS2019 E PNS)?   OB2.M7.2 (07 ) Prestar esclarecimento satisfatório quanto à série histórica epidemiológica de 2016 a 2019 sobre C.A de mama e impacto financeiro para o SUS quanto ao tratamento e reabilitação. OB2.M7.3 (13) Por qual motivo o MS não regulamentou a "Lei dos 30 Dias" (13.686/2019) e a "Lei da Notificação Compulsória do Câncer" (13.685/2019)? </t>
  </si>
  <si>
    <t>OB2.M8.1 (04-07-09) Quais foram os motivos para o MS não ter cumprido a meta (PAS2019 E PNS)?  OB2.M8.2 (04) Por que o modelo de atenção primária tem privilegiado as ações de demandas assistenciais e pouco as de vigilância (prevenção e promoção da saúde)?                                       OB2.M8.3 (07) Prestar esclarecimento satisfatório quanto à série histórica epidemiológica de 2016 a 2019 sobre C.A de colo de útero e impacto financeiro para o SUS quanto ao tratamento e reabilitação.                                                                                                                                                     OB2.M8.4 (13) Por qual motivo a Portaria MS nº 61/2015 segue me vigor, contrariando a Constituição Federal e a Lei nº 11.664/2008?</t>
  </si>
  <si>
    <t>0B2.M9.1 (04-07-09) Quais foram os motivos para o MS não ter cumprido a meta (PAS2019 E PNS)?  OB2.M9.2 (04) Esclarecer os motivos e quais projetos foram substituídos, bem como quais foram e qual a situação dos projetos em análise em 31/12/2019 e atualmente?                                          OB2.M9.3 (07) Esclarecer as razões para a não implementação do plano e das 80 soluções de radioterapia em 2019, nos termos da PORTARIA Nº 931, DE 10 DE MAIO DE 2012.</t>
  </si>
  <si>
    <t>OB2.M10.1 (07-09) Quais foram os motivos para o MS não ter cumprido a meta (PAS2019 E PNS)?      OB2.M10.2 (07) Informar o perfil epidemiológico e número de atendimentos em UPAs no período de 2016 a 2019</t>
  </si>
  <si>
    <t>OB2.M11.1 (11) Informação sobre não cumprimento de ampliação do número de beneficiários do Programa de Volta para Casa - PVC</t>
  </si>
  <si>
    <t>Pedido de Esclarecimentos das Comissões Temáticas/CNS</t>
  </si>
  <si>
    <t>OB2.M12. 1 (04-07-09) Quais foram os motivos para o MS não ter cumprido a meta (PAS2019 E PNS)?</t>
  </si>
  <si>
    <t xml:space="preserve">OB2.M13.1 (04-07-09) Quais foram os motivos para o MS não ter cumprido a meta (PAS2019 E PNS)?   OB2.M13.2 (07) Esclarecimentos quanto ao não cumprimento desta meta em detrimento do aumento de financiamento federal às comunidades terapêuticas. Frisamos que para as comunidades terapêuticas, só em 2018, o MS programou 40 milhões para estas comunidades (https://www.justica.gov.br/news/governo-destina-r-87-milhoes-ao-acolhimento-de-dependentes-em-comunidades-terapeuticas). </t>
  </si>
  <si>
    <t>OB2.M14.1 (04-07-09-11)  Quais foram os motivos para o MS não ter cumprido a meta (PAS2019 E PNS)?                                                                                                                                                                     OB2.M14.2 (07) Esclarecimentos quanto ao não cumprimento desta meta. Frisamos que para as comunidades terapêuticas, só em 2018, o MS programou 40 milhões para estas comunidades (https://www.justica.gov.br/news/governo-destina-r-87-milhoes-ao-acolhimento-de-dependentes-em-comunidades-terapeuticas).                                                                                                               OB2.M14.3 (11) Quais são as 13 unidades que faltaram criar e a previsão de criação?</t>
  </si>
  <si>
    <t>OB2.M15.1 (04-07-09-11)  Quais foram os motivos para o MS não ter cumprido a meta (PAS2019 E PNS)?                                                                                                                                                                OB2.M15.2 (07)  Informações das localidades onde houve implantação.                                       OB2.M15.3 (07) Esclarecimento acerca do aumento no investimento na implatação de leitos de saúde mental em hospitais, em detrimento deo escasso investimento em CAPS - tal situação vai de encontro à Reforma psiquiátrica e o processo de desinstitucionalização psiquiátrica prevista pela Lei 10.216/2001.                                                                                                                                                 OB2.M15.4 (11) Esclarecimento sobre os 193 Centros de Atenção Psicossocial (CAPS) que estão faltando e a previsão da criação.</t>
  </si>
  <si>
    <t>OB2.M16.1 (04-07-11)  Quais foram os motivos para o MS não ter cumprido a meta (PAS2019 E PNS)?                                                                                                                                                                                                      OB2.M16.2 (07) Esclarecimento acerca do aumento no investimento na implatação de leitos de saúde mental em hospitais, em detrimento deo escasso investimento em CAPS - tal situação vai de encontro à Reforma psiquiátrica e o processo de desinstitucionalização psiquiátrica prevista pela Lei 10.216/2001 .                                                                                                                                                OB2.M16.3 (11) Esclarecimento sobre os 40  Centros de Atenção Psicossocial - CAPS III - 24 horas que estão faltando e a previsão da criação.</t>
  </si>
  <si>
    <t>OB2.M17.1 (04-07-11)  Quais foram os motivos para o MS não ter cumprido a meta (PAS2019 E PNS)?                                                                                                                                                                                                      OB2.M17.2 (07) esclarecimento acerca do aumento no investimento na implatação de leitos de saúde mental em hospitais, em detrimento deo escasso investimento em CAPS - tal situação vai de encontro à Reforma psiquiátrica e o processo de desinstitucionalização psiquiátrica prevista pela Lei 10.216/2001 . .                                                                                                                                                OB2.M17.3 (11) Esclarecimento sobre os 107  CAPS-AD e CAPS-AD III que estão faltando e a previsão da criação.</t>
  </si>
  <si>
    <t>OB2.M18.1 (04-07-09-11) Esclarecimento sobre a grande carência desse tipo de atendimento OB2.M18.2 (11) Informar o mapeamento de implementação dos leitos de saúde mental em hospitais gerais</t>
  </si>
  <si>
    <t>OB2.M19.1 (07-09)  Quais foram os motivos para o MS não ter cumprido a meta (PAS2019 E PNS)? OB2.M19.2 (07) O não atendimento às  metas 19 a 22 representa um franco descumprimento da legislação vigente no que tange o direito da pessoa com deficiência - solicitamos esclarecimentos robustos sobre o não cumprimento.                                                                                                             OB2.M19.3 (09) Quais foram os motivos para a redução da meta?</t>
  </si>
  <si>
    <t xml:space="preserve">OB2.M20.1 (03-04-07-09)  Quais foram os motivos para o MS não ter cumprido a meta (PAS2019)? OB2.M20.2 (03) Informações sobre quais os tipos de convênios foram realizados para implementação dos Centros Especializados em Reabilitação – CER e mapeamento de como estão distribuídos nos estados brasileiros.                                                                                                                                       OB2.M20.3 (07) O não atendimento às  metas 19 a 22 representa um franco descumprimento da legislação vigente no que tange o direito da pessoa com deficiência - solicitamos esclarecimentos robustos sobre o não cumprimento.                                                                                                             </t>
  </si>
  <si>
    <t xml:space="preserve">OB2.M21.1 (03-04-07-09)  Quais foram os motivos para o MS não ter cumprido a meta (PAS2019 E PNS)?                                                                                                                                                                OB2.M21.2 (03) O que se pretende fazer diante das consequências negativas para a saúde da população pelo não cumprimento das metas?                                                                                      OB2.M21.3 (03) Como foram distribuídas essas oficinas pelos Estados brasileiros?                    OB2.M21.4 (07) O não atendimento às  metas 19 a 22 representa um franco descumprimento da legislação vigente no que tange o direito da pessoa com deficiência - solicitamos esclarecimentos robustos sobre o não cumprimento. </t>
  </si>
  <si>
    <t xml:space="preserve">OB2.M22.1 (03-07-09)  Quais foram os motivos para o MS não ter cumprido a meta (PAS2019)?       OB2.M22.2 (03) Informações sobre quais os tipos de veículos sanitários foram entregues e mapeamento de como foram distribuídos nos Estados brasileiros.                                                 OB2.M22.3 (07) O não atendimento às  metas 19 a 22 representa um franco descumprimento da legislação vigente no que tange o direito da pessoa com deficiência - solicitamos esclarecimentos robustos sobre o não cumprimento. </t>
  </si>
  <si>
    <t>OB2.M25.1 (3) Quais foram os motivos para o MS não ter cumprido a meta (PNS)?                OB2.M25.2 (3) Qual a perspectiva de sanar o não cumprimento das metas?                                  OB2.M25.3 (3) O Conselho Nacional de Saúde será chamdo para contribuir e debater para complementar as diretrizes?</t>
  </si>
  <si>
    <t>OB3.M1.1 (04-07-09) Quais foram os motivos para o MS não ter cumprido a meta (PAS2019)?                                                                                                               OB3.M1.2 (04) Explicar as informações da página 52 do RAG 2019                                                                                                                                                OB3.M1.3 (09) Informações sobre ações para a saúde das mulheres lésbicas e dos casos de aborto legal, bem como das ações de enfrentamento às situações de violência contra as mulheres.</t>
  </si>
  <si>
    <t>OB3.M2.1 (04-07-09) Quais foram os motivos para o MS não ter cumprido a meta (PAS2019 E PNS)? OB3.M2.2 (07) Quais foram as estratégias adotadas para resolver as dificuldades de implantação e quais os serviços ativos atualmente?</t>
  </si>
  <si>
    <t xml:space="preserve">OB4.M1.1 (04-07-12) Quais foram os motivos para o MS não ter cumprido a meta (PAS2019 E PNS)? OB4.M1.2 (07) Informar a cobertura por Estado e região.                                                                     OB4.M1.3 (13)  Quando ocorreu a detecção do problema? Esse é o único laboratório em território nacional com capacidade de produzir esse imunibiológico? </t>
  </si>
  <si>
    <t xml:space="preserve">OB4.M2.1 (04-07) Quais foram os motivos para o MS não ter cumprido a meta (PAS2019 E PNS)?                                                                     OB4.M2.2 (13)  Quais medicamentos imunobiológicos deixaram de ser comprados nesse período? Em quais estados os pacientes deixaram de receber seu tratamento correto? </t>
  </si>
  <si>
    <t xml:space="preserve">OB4.M3.1 (04-07) Quais foram os motivos para o MS não ter cumprido a meta (PAS2019 E PNS)?    </t>
  </si>
  <si>
    <t>OB4.M4.1 (04) Quais foram os motivos para o MS não ter cumprido a meta (PNS)?                      OB4.M4.2 (12) Por que da diminuição da meta de 95% para 80%? Qual é o impacto para o resultado que se espera nos examinados entre contatos intradomiciliares</t>
  </si>
  <si>
    <t>OB4.M5.1 (07) Quais foram os motivos para o MS não ter cumprido a meta (PAS2019)?                      OB4.M5.2 (13) UNIÃO de 02 "Linhas de Financiamento DIFERENTES (1-IST/AIDS/Hepatites Virais&amp;2-Tuberculose) que ANTES eram separadas, precisa de uma explicação TÉCNICA onde se possa: identificar a COMPOSIÇÃO em SEPARADO de cada "Linha de Financiamento" antiga, explicando de forma ESPECIFICA cada verba e sua DESTINAÇÃO original (Finalidades DIFERENTES), até antes do DECRETO 9.795 - 17/05/2019 (Organograma das Áreas e suas Finalidades);</t>
  </si>
  <si>
    <t>OB4.M6.1 (04) Quais foram os motivos para o MS não ter cumprido a meta (PAS2019 E PNS)?                      OB4.M6.2 (13) Identificar CADA verba em separado, e COMO se deu a mudança (portaria interna, e/ou Nota Técnica, e/ou outro instrumento LEGAL), pra que ocorra a JUSTIFICATIVA técnica e legal desta "União de Linhas diferentes";</t>
  </si>
  <si>
    <t>OB4.M7.1 (04-07) Quais foram os motivos para o MS não ter cumprido a meta (PAS2019 E PNS)?   OB4.M7.2 (12) Esclarecimentos sobre a alteração da meta e impacto na avaliação da malária no Brasil</t>
  </si>
  <si>
    <t>OB4.M8.1 (04-12) Quais foram os motivos para o MS não ter cumprido a meta (PAS2019 E PNS)? OB4.M8.2 (07) Informações quanto às regiões que se encontram descobertas por CERESTs e quais as medidas do Governo Federal para correção do problema.                                                                  OB4.M8.3 (13) A que se deve o congelamento do índice em exatos 73,74% nos últimos 3 anos? Quais as regiões de saúde que não foram contempladas?                                                                               OB4.M8.4 (13) Em que situação está a discussão nos comitês técnicos da CIT sobre a implementação do novo modelo de CEREST? A Resolução CNS nº 603/2018 está sendo levada em consideração?</t>
  </si>
  <si>
    <t>OB4.M10.1 (04-12) Quais foram os motivos para o MS não ter cumprido a meta (PAS2019 E PNS)?  OB4.M10.2 (13) Quais as regiões e/ou cidades que não foram contempladas?</t>
  </si>
  <si>
    <t>OB4.M12.1 (4) Esclarecimento acerca de quais iniciativas foram realizadas pelo MS para aumentar o percentual de aldultos que consomem frutas e hortaliças regularmente.</t>
  </si>
  <si>
    <t>OB4.M13.1 (12) Quais foram os motivos para o MS não ter cumprido a meta (PAS2019 E PNS)?  OB4.M13.2 (12) Esclarecimento para a alteração da base de cálculo de escesso de peso para obesidade</t>
  </si>
  <si>
    <t>OB4.M16.1 (04-07-12) Quais foram os motivos para o MS não ter cumprido a meta (PAS2019 E PNS)?  OB4.M16.2 (13) Quais as regiões e/ou cidades que não foram contempladas?</t>
  </si>
  <si>
    <t>OB4.M17.1 (04-12) Quais foram os motivos para o MS não ter cumprido a meta (PAS2019 E PNS)?</t>
  </si>
  <si>
    <t>OB4.M18.1 (04-12) Quais foram os motivos para o MS não ter cumprido a meta (PAS2019 E PNS)?  OB4.M18.2 (13) Quais as regiões e/ou cidades que não foram contempladas?</t>
  </si>
  <si>
    <t>OB4.M19.1 (04-12) Quais foram os motivos para o MS não ter cumprido a meta (PAS2019 E PNS)?  OB4.M19.2 (13) Quais as regiões e/ou cidades que não foram contempladas?</t>
  </si>
  <si>
    <t xml:space="preserve">OB5.M3.1 (06-12) Se o problema está na aferição dos dados, como superar este problema? Quais as soluções propostas pela SESAI?  </t>
  </si>
  <si>
    <t>OB5.M4.1 (06) Quais foram os motivos para o MS não ter cumprido a meta (PAS2019 E PNS)?  OB5.M4.2 (12) Como e quando o MS pretende resolver os problemas apontados na sua justificativa?</t>
  </si>
  <si>
    <t>OB5.M7.1 (06) Quais foram os motivos para o MS não ter cumprido a meta (PAS2019 E PNS)?  OB5.M7.2 (12) Como e quando o MS pretende resolver os problemas apontados na sua justificativa?</t>
  </si>
  <si>
    <t>OB5.M8.1 (06) Quais foram os motivos para o MS não ter cumprido a meta (PAS2019 E PNS)?  OB5.M8.2 (12) Como e quando o MS pretende resolver os problemas apontados na sua justificativa?</t>
  </si>
  <si>
    <t>OB6.M4.1 (01) Apresentar detalhamento da composição deste indicador com a descrição por medicamento e insumo estratégico, quais doenças endêmicas foram contempladas na sua composição, com série histórica do programado e distribuição, justificativa para o aumento e/ou diminuição da distribuição, impacto orçamento/ financeiro e assistencial previsto (pacientes e/ou serviços de saúde atendidos), se possui PDP ou é de aquisição direta pelo órgão ou organismo internacional; Levando em conta o não atendimento das metas propostas para o período 2016/2019, esclarecer quais as razões pela não aquisição dos medicamentos da rede de laboratórios públicos; Quais os itens não adquiridos e quantidades? Quais as alternativas realizadas para atender a não aquisição, levando em conta o atendimento a demanda prevista? Quais os impactos financeiros da não aquisição dos produtores públicos?; Levando em conta o não atendimento das metas propostas para o período 2016/2019, posicionar-se quanto à continuidade ou não da aquisição dos produtores públicos brasileiros.                                                                                                                                               OB6.M4.2 (01) A justificativa presente na pág. 69 do RAG 2019 está incompleta.                        OB6.M4.3 (09).Solicitar dados estratificados sobre a distriuição bem como sobre os tipos de medicamento                                                                                                                                                   OB6.M4.4 (13) Quais doenças endêmicas foram mais severamente atingidas pela falta de medicação?</t>
  </si>
  <si>
    <t>OB6.M2.1 (01-09) Apresentar justificativas para a redução do Fator IX e as perspectivas para a garantia dos índices recomendados pela OMS para os diferentes tipos de fatores no tratamento de insulina; Esclarecer as razões pelo não atendimento das metas objetivadas, considerando a valor estratégico que envolve os produtos contemplados no item e o custo devido ao não atendimento, como valores de importação e comparação com os possíveis valores caso os itens fossem produzidos no Brasil/Hemobrás; Informar o impacto no atendimento causado pelo não atendimento das metas objetivadas para o ano de 2019 e para o período 2016/2019, as alternativas criadas pelo MS para redução destes impactos. À HEMOBRÁS: Esclarecer as razões pelo não atendimento das metas objetivadas, considerando a valor estratégico que envolve os produtos contemplados no item.  OB6.M2.2 (01) A justificativa presente na pág. 64 do RAG 2019 está incompleta.                         OB6.M2.3 (13) Quais as regiões e/ou cidades que não foram contempladas?</t>
  </si>
  <si>
    <t>OB6.M1.1 (04-07) Quais foram os motivos para o MS não ter cumprido a meta (PAS2019 E PNS)? OB6.M1.2 (01) Informar o impacto no atendimento causado pelo não atendimento das metas objetivadas para o ano de 2019, as alternativas criadas pelo MS para redução destes impactos e as principais cidades/regiões não atendidas.                                                                                                  OB6.M1.3 (01) A justificativa presente na pág. 64 do RAG 2019 está incompleta.                            OB6.M1.4 (09) Esclarecimento sobre a coleta de dados                                                                     OB6.M1.5 (13) Quais as regiões e/ou cidades que não foram contempladas?</t>
  </si>
  <si>
    <t>OB7.M2.1 (01) Quais foram os recursos orçamentários previstos na dotação inicial e atualizada, empenhados, liquidados e pagos referentes a essa meta? Estão alocados numa única ação orçamentária (qual)? Se os valores das despesas referentes a essa meta estiverem compartilhados com outras despesas em uma ou mais ações orçamentárias, favor informar quais e detalhar as informações solicitadas                                                                                                                                 OB7.M2.2 (01) A justificativa presente na pág. 68 do RAG 2019 está incompleta.</t>
  </si>
  <si>
    <t xml:space="preserve">OB7.M5.1 (01) Quais motivos para o não atendimento da meta? Quais pesquisas compuseram essa meta e situação atual de cada uma delas? Qual foi o impacto assistencial previsto e não alcançado como decorrência do descumprimento da meta?                                                                                  OB7.M5.2 (01)A justificativa presente na pág. 69 do RAG 2019 está incompleta. </t>
  </si>
  <si>
    <t xml:space="preserve">OB7.M7.1 (01) Quais pesquisas compõem essa meta e qual o impacto para SUS? Onde estão distribuídas essas pesquisas no território nacional e instituições envolvidas?  Informar se houve relação de parceria com o Ministério da Ciência e Tecnologia e Ministério da Educação para a realização das atividades relacionadas nas metas objetivadas.                                                                                     OB7.M7.2 (01) A justificativa presente na pág. 69 do RAG 2019 está incompleta. </t>
  </si>
  <si>
    <t>OB7.M8.1 (01) Informar se houve/qual impacto nos processos de judicialização em Saúde, tanto para o MS, quanto para os Estados; Informar os impactos positivos no atendimento às demandas por medicamentos no SUS - Quais protocolos estão previstos para elaboração? Quais protocolos estão previstos para revisão? Quais entidades e o custo envolvido nas revisões destes 50 PCDTs? Informar se houve/qual impacto nos processos de judicialização em Saúde, tanto para o MS, quanto para os Estados;                                                                                                                                                             OB7.M8.2 (01) A justificativa presente nas págs. 69 e 70 do RAG 2019 estão incompletas</t>
  </si>
  <si>
    <t>OB7.M9.1 (01) À HEMOBRÁS: Esclarecer as razões pelo não atendimento das metas objetivadas, considerando a valor estratégico que envolve os produtos contemplados no item.                      OB7.M9.2 (01) À SCTIE/MS: Esclarecer as razões pelo não atendimento das metas objetivadas, tanto para 2019, quanto para o período de 2016/2019, considerando a valor estratégico que envolve os produtos contemplados no item e o custo devido ao não atendimento, como valores de importação e comparação com os possíveis valores caso os itens fossem produzidos no Brasil/Hemobrás;           OB7.M9.3 (01) Informar o impacto no atendimento causado pelo não atendimento das metas objetivadas para o ano de 2019 e para o período 2016/2019, as alternativas criadas pelo MS para redução destes impactos.                                                                                                                            OB7.M9.4 (01) A justificativa presente na pág. 70 do RAG 2019 está incompleta</t>
  </si>
  <si>
    <t>0B7.M10.1 (01)À HEMOBRÁS: Esclarecer as razões pelo não atendimento das metas objetivadas, considerando a valor estratégico que envolve os produtos contemplados no item. À SCTIE/MS: Esclarecer as razões pelo não atendimento das metas objetivadas, tanto para 2019, quanto para o período de 2016/2019, OB7.M10.1 (01) Considerando o valor estratégico que envolve os produtos contemplados no item e o custo devido ao não atendimento, como valores de importação, qual seria o custo (maior ou menor que a importação) se fossem produzidos no Brasil/Hemobrás (apresentar quadro comparativo);                                                                                                                                  OB7.M10.2 (01) A justificativa presente na pág. 70 do RAG 2019 está incompleta</t>
  </si>
  <si>
    <t>OB8.M1.1 (01) A justificativa presente na pág. 72 do RAG 2019 está incompleta</t>
  </si>
  <si>
    <t>OB8.M3.1 (01) A justificativa presente na pág. 72 do RAG 2019 está incompleta</t>
  </si>
  <si>
    <t>OB8.M5.1 (01)À ANVISA: Esclarecer sobre a atual situação de regulação do mercado de agrotóxicos e implicações dos novos projetos de lei relacionados a regulação do mercado de agrotóxicos no país.       OB8.M5.2 (01) A justificativa presente na pág. 72 do RAG 2019 está incompleta</t>
  </si>
  <si>
    <t>OB9.M1.1 (15) A ANS deveria ter realizado fiscalização quanto à disponibilização do registro aos beneficiários desde 2012. Assim sendo, solicitamos esclarecimentos do MS quanto às medidas adotadas pela ANS para a fiscalização do cumprimento desta meta</t>
  </si>
  <si>
    <t>OB10.M1.1 (08) Quais foram os critério sultilizdos  para a distribuição dessas bolsas por região? Essa quantidade realizada atende a demanda (especificar a demanda)?</t>
  </si>
  <si>
    <t>OB10.M3.1 (08) Qual a razão para a meta não ter sido alcançada em nenhum dos anos do quadrienio, bem como não ser prevista em 2019?</t>
  </si>
  <si>
    <t>OB11.M2.1 (01) Quais Estados e Municípios foram contemplados com Ouvidorias do SUS?</t>
  </si>
  <si>
    <t xml:space="preserve">OB12.M7.1 (05) Especificar o tipo de apoio disponibilizado para os Conselhos de Saúde e se este apoio contemplou a realização de processo de formação e educação permanente para conselheiros de saúde. </t>
  </si>
  <si>
    <t>OB13.M1.1 Considerando que havia estudos sendo desenvolvidos até 2018 sobre a metodologia de critérios de rateio de recursos federais do SUS para Estados e Municípios, informar o que avançou desses estudos em 2019, bem como se outras ações foram desenvolvidas para esse fim (informar quais foram).</t>
  </si>
  <si>
    <t xml:space="preserve">OB13.M3.1 Quais foram os critérios técnicos adotados pelo MS para avaliação e aprovação/reprovação das emendas parlamentares individuais destinadas ao desenvolvimento de ações e serviços públicos de saúde em 2019? No caso das aprovadas, quais foram os critérios adotados para a execução orçamentária e financeira durante o exercício de 2019 (apresentar o cronograma de execução) </t>
  </si>
  <si>
    <t>OB13.M4.1 Explicitar quais foram as novas modalidades de repasses de recursos instituídas em 2019 para induzir as linhas de cuidado integral para acesso às especialidades, bem como os critérios adotados para esse fim.</t>
  </si>
  <si>
    <t>OB13.M5.1 Quais foram as ações desenvolvidas pelo MS que resultaram na redução do preço médio das aquisições contratuais baseadas em PDP?</t>
  </si>
  <si>
    <t>OB1.M17.1 (07-09-14) Quais foram os motivos para o MS não ter cumprido a meta (PAS2019 E PNS)? OB2.M17.2 (13) Se o Decreto Regulamentador é de 27.01.2010, porque não conseguiram realizar a transferência pelos meios estabelecidos nele?</t>
  </si>
  <si>
    <t xml:space="preserve">OB2.M4.1 (04) Explicar a divergência encontrada: As metas anuais (30+30+32+58) totalizam 150 e não 120, enquanto as realizadas (31+11+16+6) totalizam 64 diferente da nota de rodape #26 que indica 74.                                                                                                                                                                    OB2.M4.2 (07) Quais foram os motivos para o MS não ter cumprido a meta (PAS2019 E PNS)?  OB2.M4. 3 (07)  Informações sobre as regiões onde as ambiências foram adequadas e se as adequações envolvem a acessibilidade universal. </t>
  </si>
  <si>
    <t>OB2.M6.1 (04-07-09) Quais foram os motivos para o MS não ter cumprido a meta (PAS2019 E PNS)?            OB2.M6.2 (07) Informações onde foram implantadas</t>
  </si>
  <si>
    <t>OB5.M9.1 (12) Como e quando o MS pretende resolver os problemas apontados na sua justificativa?</t>
  </si>
  <si>
    <t>OB6.M3.1 (01) Apresentar detalhamento da composição deste indicador com a descrição por medicamento e insumo estratégico com série histórica do programado e distribuição, justificativa para o aumento e/ou diminuição da distribuição, impacto assistencial previsto (pacientes e/ou serviços de saúde atendidos.                                                                                                                                                OB6.M3.2 (01) A justificativa presente na pág. 36 do RAG 2019 está incompleta.                         OB6.M3.3 (13) Esses insumos foram suficientes para assistir todos os cidadãos que fazem uso deles em razão das patologias? Sabia-se da possibilidade de desabastecimento de algum deles?).</t>
  </si>
  <si>
    <t xml:space="preserve">OB7.M4.1 (01) Esclarecer as razões do não atendimento das metas para 2019, bem como para o período de 2016/2019 - Quais as alternativas foram propostas para a não implantação e os impactos financeiros, caso seja possível, da não implantação dos parques produtivos? Levando em conta a continuidade da implantação  das parcerias para o desenvolvimento produtivo (PDP), esclarecer quanto à continuidade do citado Programa em 2019 e, em caso negativo, quanto às alternativas propostas para o desenvolvimento nacional de pesquisa, inovação e expansão da produção nacional de tecnologias estratégicas para o SUS e para o atendimento a demanda geral. </t>
  </si>
  <si>
    <t>OB7.M3.1 (01) Esclarecer as razões do não atendimento das metas para 2019, bem como para o período de 2016/2019 - Quais as alternativas foram propostas para a não implantação e os impactos financeiros, caso seja possível, da não implantação dos novos medicamentos?; Levando em conta a continuidade da implantação  das parcerias para o desenvolvimento produtivo (PDP), esclarecer quanto à continuidade do citado Programa em 2019 e, em caso negativo, quanto às alternativas propostas para o desenvolvimento nacional de pesquisa, inovação e expansão da produção nacional de tecnologias estratégicas para o SUS.                                                                                                                 OB7.M3.2 (01) A justificativa presente na pág. 68 do RAG 2019 está incompleta.                       OB7.M3.3 (13) O que interferiu para o não alcance da obra: falta de incentivo à Pesquisa de novos fármacos?</t>
  </si>
  <si>
    <t>OB6.M5.1 (01)Apresentar os municípios selecionados 2018 e 2019, motivos para atraso nos repasses e apresentar os critérios de seleção detalhados por municípios; Levando em conta a continuidade da implantação  do Programa Nacional de Qualificação da Assistência Farmacêutica (Qualifar-SUS), esclarecer quanto à continuidade do citado Programa em 2019 e, caso não, as alternativas propostas para a substituição e as vantagens ou melhoramentos previstos.                                                                  OB6.M5.2 (01) A justificativa presente na pág. 64 do RAG 2019 está incompleta.                                                                                                     OB6.M5.3 (09) Informações adicionais sobre a hanseníase e as doenças negligenciadas que são carentes de novos medicamentos.</t>
  </si>
  <si>
    <t>OB7.M1.1 (01)   Quais internalizações estavam previstas e os valores programados para cada PDP? Quais foram e quais os motivos pelo rompimento de PDPs no ano de 2019? Levando em conta a continuidade da implantação  das PDPs, esclarecer quanto à continuidade do citado Programa em 2019 e, em caso negativo, qunto às alternativas propostas para o desenvolvimento nacional de pesquisa, inovação e expansão da produção nacional de tecnologias estratégicas para o SUS.                   OB7.M1.2 (01) A justificativa presente na pág. 65 do RAG 2019 está incompleta.</t>
  </si>
  <si>
    <t xml:space="preserve">OB7.M6.1 (01) Esclarecer as razões do não atendimento das metas para 2019; Quais as alternativas foram propostas para a não implantação e os impactos financeiros, caso seja possível, da não implantação dos parques produtivos?; Levando em conta a continuidade da implantação das parcerias para o desenvolvimento produtivo (PDP), esclarecer quanto à continuidade do citado Programa em 2019 e, caso não, as alternativas propostas para o desenvolvimento nacional de pesquisa, inovação e expansão da produção nacional de tecnologias estratégicas para o SUS e para o atendimento a demanda geral.                                                                                                                                               OB7.M5.2 (01)A justificativa presente nas págs. 68 e 89 do RAG 2019 está incompleta. </t>
  </si>
  <si>
    <t>OB8.M2.1 (01) À ANVISA: Esclarecer as razões pelo não atendimento das metas para 2019, considerando o impacto para a produção nacional de genéricos, como neste caso.                 OB8.M2.2 (01) A justificativa presente na pág. 72 do RAG 2019 está incompleta</t>
  </si>
  <si>
    <t>OB8.M4.1 (01) Quais os estados e municípios foram contemplados? Por que a meta não foi cumprida e quais estados e municípios não foram contemplados com o descumprimento da meta? Quais os impactos para a saúde da população pelo descumprimento da meta? Há estudos para definição da meta prevista (10), bem como sobre o quantitativo necessário (e respectivas localidades) de vigilâncias sanitárias? Em caso positivo, apresentar esses estudos.                                                        OB8.M4.2 (01) A justificativa presente na pág. 72 do RAG 2019 está incompleta</t>
  </si>
  <si>
    <t xml:space="preserve">OB11.M1.1 (01-07-09-15) À SE/MS: Esclarecer as razões pelo não atendimento das metas, tanto para 2019, quanto para o período de 2016/2019;                                                                          OB11.M1.2 (01) Quais foram os assuntos abordados nessas capacitações? Em quais os estados e municípios foram realizadas as capacitações (informar a participação consolidada por Estado)?                                                                                                                                                        OB11.M1.3 (01) A justificativa presente na pág. 79 do RAG 2019 está incompleta.       OB11.M1.4 (04) Informar as pessoas capacitadas por faixa etária                                         OB11.M1.5 (05) Que tipo de atividades de formações foram realizadas pelo MS (por meio da SAPS que incorporou as atribuições da extinta SGEP, segundo o que está especificado no relatório) para conselheiros de saúde/controle social? Em quais locais onde foram realizadas essas atividades? Quem executou e quem definiu conteúdos/temas abordados? Informar o perfil dos participantes nessas atividades.                                                                                    OB11.M1.6 (05)Considerando que foram detectadas diferenças no número de pessoas capacitadas em diferentes partes do relatório, informar com precisão qual foi o número de pessoas capaitadas anualmente no quadriênio de 2016 a 2019, bem como a totalização do período. </t>
  </si>
  <si>
    <t>OB11.M3.1 (01-07-09-12-15) À SE/MS: Esclarecer as razões pelo não atendimento das metas, tanto para 2019, quanto para o período de 2016/2019 - Quais os critérios para implantação dos Comitês de Política de Promoção de Equidade em Saúde?                                                                             OB11.M3.2 (01) A justificativa presente na pág. 79 do RAG 2019 está incompleta          OB11.M3.3 (04) Novos projetos estão sendo reavalidados pela gestão. Esclarecer como está o andamento  da implantação de novos projetos</t>
  </si>
  <si>
    <t>Respostas do MS</t>
  </si>
  <si>
    <t>No último monitoramento feito pela área responsável pela meta na Anvisa, o parecer técnico em anexo foi inserido no e-CAR com as justificativas para o resultado encontrado. Não há informações sobre municípios, somente sobre os estados onde os procedimentos foram implantados, bem como se os critérios foram atentidos de forma total, parcial ou não foram atendidos . Não há informação sobre estudos feitos sobre a meta. As razões para o não alcance da meta se encontram descritas no referido parecer técnico, bem como maiores informações sobre a meta.</t>
  </si>
  <si>
    <t>No último monitoramento feito pela área responsável pela meta na Anvisa anexou o seguinte texto: "Forma de cálculo: Foram considerados todos os pedidos de registro de medicamentos genéricos enquadrados como genéricos inéditos com entrada de 01/01/2019 a 31/12/2019. Para os expedientes considerados no cálculo, onde não houve ainda a 1ª manifestação, foi considerada a data de realização do cálculo, 15/01/2020, para efeito do cálculo do tempo médio de que trata a meta monitorada.
De acordo com a RDC 204/2017, são classificadas como prioritárias as petições de registro de medicamentos genéricos inéditos. Assim, para sinalizar que seu medicamento se trata de genérico inédito, a empresa interessada deve informar no sistema de peticionamento, no momento do protocolo do pedido de registro, o critério de priorização baseado no art. 3º, V, da RDC 204/2017.
Para um expediente com entrada no período monitorado foi considerada, para o cálculo da meta, a data de priorização como data de entrada deste, uma vez que o pedido de priorização não foi detectado no sistema de peticionamento. Este fato fez com que o expediente fosse considerado como um pedido ordinário de registro de medicamento genérico até ser detectado manualmente como priorizado, uma vez que se tratava de medicamento genérico inédito sem sinalização no sistema de peticionamento, mas se enquadrava no critério de priorização.
Situação atual: No período monitorado houve entrada de 21 petições de genéricos inéditos. Destas, 15 petições tiveram tempo de manifestação acima do tempo médio estabelecido nesta meta. O prazo médio da primeira manifestação para o registro de medicamentos genéricos inéditos no período foi de 90 dias.
Das 21 petições, 05 ainda não tiveram primeira manifestação. Para estas, foi considerada a data de 15/01/2020 para fins de cálculo. Caso essas 05 petições sejam retiradas do cálculo, o tempo médio é de 87 dias para primeira manifestação.
Pontos Críticos:
- 71,4% (15 de 21) dos pedidos de registro de medicamentos genéricos inéditos tiveram tempo de manifestação acima do tempo médio definido para a meta (60 dias);
- Há ainda 05 pedidos já priorizados pelo critério de genéricos inéditos, mas que ainda não houve manifestação da ANVISA, o que poderia alterar o tempo médio final em eventual monitoramento;
- Falhas no sistema de peticionamento quanto à identificação de protocolos como pedidos de registro para medicamentos genéricos inéditos impactaram no cumprimento da meta de uma forma geral, impedindo que a área responsável identificasse o expediente como prioritário e, portanto, como objeto desta meta.
- Uma das áreas técnicas responsáveis pela análise de registro de medicamentos genéricos inéditos passou por reestruturação acumulando outras atividades.
Encaminhamentos: Foram adotadas várias ações corretivas no intuito de diminuir o tempo médio de primeira manifestação para genéricos inéditos, dentre as quais destaca-se:
- Acompanhamento e correção dos erros do sistema de peticionamento que impediam a identificação do protocolo como genérico inédito;
- Estabelecimento de metas para vários marcos (como, por exemplo, Data do pedido de priorização -&gt; Data da concessão da priorização; Data da concessão da priorização -&gt; Data da 1ª manifestação) a fim de identificar possíveis “gargalos” nos processos de trabalho que tenham maior impacto nos tempos de análise envolvidos e adoção de medidas para mitigar tais impactos;
- Redistribuição de tarefas entre a equipe responsável pela análise dos pedidos de priorização e dos pedidos de registro de medicamentos priorizados, a fim de convergir o tempo médio para o proposto na meta PPA M02 - 04HU - 02.
A despeito das ações corretivas aplicadas, a média do ano não pode ser reduzida devido ao histórico de tempo alto de petições anteriores."</t>
  </si>
  <si>
    <t>A Rede Global de Bancos de Leite Humano (rBLH) é  uma estratégia de segurança alimentar e nutricional na atenção neonatal (com ênfase especial para recém-nascidos de risco) e a lactentes. No tocante a articulação com as  Redes de Atenção à Saúde (RAS),  como objetivo estratégico no aprimoramento do Sistema Único de Saúde, compete a rBLH a condução doa seguintes macroprocessos de trabalho: atenção direta as mulheres em processo de amamentação (gestantes, puérperas e nutrizes);  disponibilização de leite humano com qualidade certificada para RNs clinicamente impossibilitados de serem amamentados por suas próprias mães; capacitação de profissionais de saúde para condução dos trabalho em BLHs; e, desenvolvimento de ações de mobilização social voltadas para a valorização do aleitamento materno e para a conscientização da população sobre a importância da doação de leite humano. Questões relacionadas a saúde sexual e reprodutiva das mulheres, para além do escopo de atuação em epígrafe, transcendem a governabilidade da Rede de Bancos de Leite Humano.</t>
  </si>
  <si>
    <t>Essa meta atingiu 90,24% dos 100% previsto. No planejamento 2019 a previsão seria a celebração de 41 contratos para fornecimento de imunobiológicos. Desse total, 37 foram firmados em 2019. Os imunobiológicos que não tiveram seu processo de aquisição finalizados naquele exercício foram: 
Vacina Antirrábica Veterinária - SIN Processo 30208 - Aquisição emergencial de 15.000.000 de doses - Contrato assinado em Fevereiro de 2020.
Vacina Antirrábica Veterinária - SIN Processo 30141 - Aquisição de 21.000.000 de doses - Pregão em andamento.
Vacina Hexavalente - SIN Processo 30160 - Aquisição de 40.000 doses - Pregão em andamento.
Vacina Hepatite A - SIN Processo 26953 - Aquisição de 60.000 doses - Execução das Atas em maio e outubro de 2020.
Ressalta-se que, dos contratos não firmados, a vacina antirrábica canina e a Hepatite A (CRIE) tiveram solução de continuidade no abastecimento. 
Com relação à vacina Antirrábica Canina, o motivo para o desabastecimento foi a suspensão da produção dessa vacina pelo laboratório público TECPAR para adequação do seu parque fabril às exigências da ANVISA, o que motivou a abertura  de processo emergencial de aquisição.
Já o desabastecimento da vacina Hepatite A (CRIE) foi contornado com a utilização de esquema alternativo de vacinação, com imunobiológico fornecido pelo Butantan.
Com relação à pergunta sobre quais estados e  tratamento de pacientes, sugerimos reencaminhar o questionamento para as áreas competentes responsáveis pela atenção dos pacientes e de acordo com o tipo de doença que se deseja investigar.</t>
  </si>
  <si>
    <t xml:space="preserve">Esclarece-se que o valor alcançado da meta, considerado para o RAG 2019, é referente ao parecer inserido no Sistema E-Car, com dado calculado a partir a base da rede nacional do Sinan (extração do dado em 07/01/2020), para os casos diagnosticados entre janeiro e dezembro de 2018. É importante destacar que a tuberculose é uma doença infecciosa, considerada enquanto condição crônica, com um tratamento, que dura - para casos novos da tuberculose sensível - no mínimo seis meses. O tempo considerado oportuno para registro de encerramento é em até nove meses da data de diagnóstico. Portanto, a análise do indicador de cura de casos novos de tuberculose pulmonar com confirmação laboratorial é realizada no ano referente à PAS para dados dos casos diagnosticados no ano anterior.  A demora no registro do desfecho de tratamento no sistema de informação e as limitações apresentadas pela base nacional do Sinan são aspectos a serem considerados frente aos valores informados no referido ciclo de monitoramento, o que implica em dados que se modificam a cada atualização do sistema e podem ser parciais para a interpretação do alcance ou não da referida meta. Em especial, diante das fragilidades identificadas na base nacional da rede Sinan, que pode apresentar inconsistências com bases estaduais devido a aspectos de transmissão de dados e outros -  o que ocorre, por exemplo, no caso do Estado de São Paulo - a área técnica realiza rotinas de qualificação da base de dados da tuberculose três vezes ao ano. Destaca-se que, a partir da base qualificada pela CGDR/DCCI/SVS/MS, os indicadores de tuberculose, incluindo o indicador de cura de casos novos pulmonares com confirmação laboratorial, são atualizados para o período dos últimos 4 anos. Informa-se que a base qualificada pela área técnica em novembro de 2020 aponta 74,2% de cura entre casos novos pulmonares com confirmação laboratorial diagnosticados em 2018 (resultado referente à meta em 2019); 75,6% de cura entre os casos de 2017 (resultado referente à meta em 2018), 76,2% de cura entre os casos de 2016 (resultado referente à meta em 2017) e 74,7% de cura entre casos de 2015 (resultado referente à meta em 2016). Diante dessas considerações, destaca-se que ao longo do período de 2016-2019, houve alcance de valores compatíveis com a meta final de 76%. Ao reconhecer que no momento do monitoramento do RAG 2019 a informação sobre o resultado do indicador refletia um dado preliminar e passível de modificação, destaca-se a importância da possibilidade de revisão e atualização dos resultados alcançados desse indicador a cada ciclo, assim que dados mais qualificados estão disponíveis.  Reconhece-se, ainda, o alcance da cura do tratamento da tuberculose enquanto um desfecho que demanda ações integradas entre as 3 esferas de gestão, sendo um resultado que reflete o cuidado ofertado no território, a organização das redes de atenção, e as atividades desenvolvidas para a adesão à terapêutica e suporte social à pessoa em tratamento; e se reafirma o compromisso da instância federal no desenvolvimento de estratégias relacionadas à promoção da cura da TB. </t>
  </si>
  <si>
    <t>A meta proposta inicialmente era de 80%, porém devido a um equivoco de digitação pelos responsáveis de sua inserção no SIOP, a meta ficou em 95%, ainda que a àrea técnica, reiteradamente tenha solicitada a correção da meta de 95% para 80%.  A meta de 80% foi baseada no incremento do indicador do ano de 2012 para 2013, ano do dado de referência para o planejamento. Observa-se que o incremento foi 0,8% ou 0,6 ponto percentual. Por isso, previu-se o aumento anual de 1 ponto percentual até 2018 e a manutenção da meta para 2019 em 80%. Ressalta-se que essa proposta estava alinhada a meta do Programa de Qualificação das Ações de Vigilância em Saude (PQA-VS). Isso significaria passar de 75% em 2013 para 80% em 2019. Sendo assim, a meta foi realizada conforme prevista.</t>
  </si>
  <si>
    <t xml:space="preserve">A meta de cobertura de CEREST por região de saúde é compartilhada entre a SVS e a SAES, sendo a SVS responsável pela gestão da Política Nacional de Saúde do Trabalhador, porém o recurso orçamentário para suas ações permanece sob coordenação da SAES. A CGSAT empreendeu todos os esforços no sentido para que novos recursos fossem alocados na função programática dos CEREST, porém não houve aumento da disponibilização de novos recursos para essa ação. Durante o período avaliado alguns gestores de município sede de Centros de Referência já habilitados solicitaram sua desabilitação, alegando, em especial, que os recursos estruturais, financeiros e de pessoal para atendimento aos municípios da região da área de abrangência são insuficientes e oneram apenas o município sede. Pelo exposto, a CGSAT trabalhou na articulação com outros municípios para nova habilitação de CEREST, garantindo assim que a meta alcançada não fosse reduzida.
No âmbito das competências da SVS, diversas ações foram realizadas como: articulação com a SAES para habilitação de novos CEREST, apoio para pactuação na CIB para habilitação de novos CEREST Regionais ou para alteração da área de abrangência dos CEREST Regionais já existentes de modo a cobrir regiões de saúde ainda descobertas, apoio à Rede de CEREST para cumprimento das ações planejadas e rediscussão do modelo de cobertura e forma de atuação dos CEREST junto ao Conselho Nacional de Saúde. As próximas atividades a serem realizadas para fortalecimento da estratégia são: finalização do texto da portaria de reestruturação da Renast; atualização da Portaria 1206/2013; reestruturação do modelo vigente, levando em consideração a Resolução CNS nº 603/2018.
Cabe destacar, ainda, que há necessidade de disponibilização orçamentária no Bloco de Custeio das Ações e Serviços Públicos de Saúde, na forma da Portaria Nº 3.992, de 28 de dezembro de 2017, que altera a Portaria de Consolidação nº 6/GM/MS, de 28 de setembro de 2017, e da Portaria GM/MS nº 1, de 11 de janeiro de 2018 para habilitação de novos Cerest, onde sugere-se a alteração do recurso dessa ação programática para a Secretaria de Vigilância em Saúde possibilitando a gestão integral da estratégia de Saúde do Trabalhador.
</t>
  </si>
  <si>
    <t>Esclarece-se que, originalmente, o estudo sobre metodologia de critérios de rateio de recursos federais do SUS, coordenado pelo DGIP, surge do contexto em que, desde 2012, com a publicação da LC 141/2012, a Comissão Intergestores Tripartite promoveu discussões sobre a temática de pactuação de metodologia de rateio dos recursos federais, observando os critérios dispostos no artigo 17 da LC 141/2012, onde, porém, não houve consenso suficiente para discussão no plenário da Comissão Tripartite – CIT, conforme histórico sistematizado no parecer que aprovou a versão original do projeto (3662740). 
Foi sob esse contexto que o Conselho Nacional de Secretarias Municipais de Saúde – Conasems, em 2017, indicou a necessidade de um projeto PROADI para viabilizar os estudos necessários para a discussão tripartite, tendo sido submetida uma proposta de estudo pelo Hospital Alemão Oswaldo Cruz (3662691), com parecer favorável (3662740) pelo MS e início efetivo em 13/7/2018 (4740639).
Em sua concepção original, estavam previstas três etapas de discussões: necessidades de saúde; indicadores relacionados a necessidades de saúde; e metodologia para os critérios de rateio conforme necessidade de saúde.
No segundo semestre de 2018, foi realizada a primeira edição da Oficina sobre necessidades de saúde com participação de técnicos das secretarias do MS. Para o ano de 2019, estavam previstas outras ações em continuidade a execução do projeto que passariam pela realização de oficinas, envolvendo as novas gestões federal e estaduais, e também a continuidade da execução de estudos acadêmicos como revisões bibliográficas e sistemáticas sobre os temas relacionados.
Em reunião tripartite (MS, Conass e Conasems) e em reunião do Comitê Gestor do PROADI-SUS, ocorridas em abril de 2019, definiu-se a necessidade de realinhamento das atividades do projeto, em virtude de estar em curso no Ministério da Saúde, naquele momento, estudos voltados a subsidiar a elaboração de nova proposta de financiamento da Atenção Primária em Saúde (APS), que contemplaria os critérios estabelecidos na LC 141/2012, naquele nível de atenção.
Desde então, foram realizadas reuniões entre HAOC, Conasems e MS, registradas pelos resumos constantes como anexos da proposta de Re-pactuação (0011600268), com o objetivo de reorientar o projeto para adequá-lo em relação às discussões de financiamento, sobretudo, no tocante ao modelo pretendido para a APS.
Assim, os estudos e o processo de discussão tripartite, realizado por MS, Conass e Conasems sobre o tema do financiamento,  materializou-se, no ano de 2019, na forma das pactuações ocorridas em 31 outubro de 2019 para a Atenção Primária e para o Componente Básico da Assistência Farmacêutica (http://www.saude.gov.br/gestao-do-sus/articulacao-interfederativa/comissao-intergestores-tripartite/pautas-de-reunioes-e-resumos).</t>
  </si>
  <si>
    <t>O recolhimento de plasma pela Hemobrás nos Serviços de Hemoterapia encontra-se suspenso desde outubro de 2016 devido à necessidade de reestruturação da gestão do plasma excedente do uso hemoterápico no Brasil. A descontinuidade do serviço demonstrou-se necessária devido ao acúmulo de plasma em estoque na Estatal sem cobertura por contrato de beneficiamento para produção de hemoderivados. Além disso, em 04 de abril de 2017, a Portaria GM/MS 1.854/2010 foi revogada pela Portaria GM/MS 922/2017 e o Ministério da Saúde passou a ter a responsabilidade pela gestão do plasma excedente do uso transfusional. A Hemobrás seguiu com as tratativas com o Ministério da Saúde no intuito de estruturar as condições necessárias às atividades da gestão do plasma, tendo em vista:
1 - Que as últimas exportações de plasma previstas no âmbito do contrato entre a Hemobrás e o LFB, transferidor de tecnologia, ocorreram em 2016;
2 - Que mesmo após essas exportações, a Hemobrás ainda teria em estoque um volume significativo de plasma resultante do descompasso entre recolhimento e exportações para fracionamento industrial ao longo dos anos, aguardando destinação para fracionamento; e
3 - Que a gestão do plasma, do modo como até então estava estruturada, era deficitária para esta Estatal, fazendo com que a Hemobrás tivesse despesas continuadas sem a devida cobertura contratual.
Neste sentido, a Hemobrás propôs ao Ministério da Saúde que:
1 - Considerando, como fator preponderante, o fato de que uma nova contratação para fracionamento industrial de plasma pela Hemobrás não abarcaria transferência de tecnologia, haja vista os contratos vigentes com o LFB, a contratação de um novo fracionador fosse feita diretamente pelo Ministério da Saúde, garantindo-se o beneficiamento externo do plasma brasileiro até a conclusão da fábrica de hemoderivados da Hemobrás em solo pátrio; e
2 - Considerando as atividades já incorporadas por esta Estatal no âmbito da gestão do plasma e da fabricação de hemoderivados, que a Hemobrás fosse contratada pelo Ministério da Saúde para a realização das auditorias de qualificação da hemorrede, recolhimento, armazenamento e triagem do plasma, garantindo-se a cobertura contratual necessária para o ressarcimento e manutenção dessas atividades.
No tocante à contratação do serviço de beneficiamento para o plasma em estoque na Hemobrás, o Ministério da Saúde realizou dois pregões eletrônicos, e um deles gerou outro processo, perfazendo assim três números de Pregões: nº31/2018, 40/2018 e 80/2018. Tais certames tinham como objetivo a contratação de fracionador para o plasma em estoque na Hemobrás, todos sagraram-se infrutíferos, o que aumentou a criticidade de tal contratação em função da redução contínua do prazo disponível para fracionamento deste plasma antes que o mesmo atingisse seu prazo de validade.
            No mesmo ano também foram realizadas iniciativas em busca de alternativas para o aproveitamento do plasma em estoque, entre elas a sondagem da Hemobrás junto aos players para identificar interessados. O principal fator interveniente alegado pelas empresas foi o fato de não ter auditado a origem do plasma previamente ao seu recolhimento. Também houve uma tentativa de construção de uma joint venture entre empresa Alemã e o LFB, tendo em vista a perda da CPBF pela planta fabril francesa, porém também sem resultados satisfatórios.
Diante do exposto, em 2019 não foi possível retomar o recolhimento de plasma junto à Hemorrede nem a exportação de plasma para a produção de hemoderivados.</t>
  </si>
  <si>
    <t xml:space="preserve">A evolução do indicador de Transferência de Tecnologia e Incorporação de Processos prevista se refere à conclusão da instalações fabris e aquisição de equipamentos e sistemas encomendados até 2016, antes da parada da obra. Para os próximos anos, o objetivo é conferir celeridade nas contratações fortalecer a equipe de engenharia para a retomada completa das obras. A meta de transferência de tecnologia dos hemoderivados alcançou 73,35%. Em 2019 as obras da fábrica de hemoderivados avançaram com a conclusão da subestação elétrica de 69kV e da parte logística do bloco B05 (estocagem de produto acabado e almoxarifado). Ainda em 2019 houve avanços nas demais nas obras civis dos blocos produtivos B02 (fracionamento do plasma), B03 (envase e liofolização), B04 (embalagem) e B06 (controle de qualidade), com a conclusão das  impermeabilizações, acabamento externo dos blocos e retomada da construção das passarelas de ligação. A pequena diferença na evolução  em relação ao programado em 2019 se deu pelo atraso no início do novo contrato de finalização do bloco de embalagem. Porém o marco foi atingido no início de 2020, as obras, incorporação de processos e previsão de operação daquele bloco continuam dentro dos limites programados.  </t>
  </si>
  <si>
    <t>A seguir, uma breve contextualização com esclarecimentos.
1. Em outubro de 2012 foi publicada a Resolução Normativa nº 305, atualizando o Padrão TISS e criando a obrigação das operadoras enviarem os dados dos atendimentos dos beneficiários a partir 2014;
2. Em setembro de 2014 a ANS começou a receber os dados enviados pelas operadoras. Importante ressalvar que os dados referentes aos serviços ou procedimentos realizados são enviados à ANS a cada processamento das mensagens de cobrança, que são chamados de lançamentos, como por exemplo: apresentação da conta à operadora, análise da conta pela operadora e pagamento (s) ao prestador. Após a recepção dos lançamentos na ANS, é necessário aplicar-se um algoritmo para a composição da conta (guia) e, posteriormente, do evento assistencial. A ANS implementou a rotina de composição do evento assistencial de forma isolada e para um período determinado, permitindo estabelecer e validar das regras de negócio.
3. A rotina de geração dos eventos de atenção à saúde completa foi desenvolvida e disponibilizada em produção em 28/02/2019.
4. Em 2016 foi publicada a Portaria definindo o Conjunto Mínimo de Dados e prevendo o envio dos dados do Padrão TISS ao Ministério da Saúde;
5. Em 31/08/2019 foi enviado arquivo com os eventos de atenção à saúde referentes à competência janeiro/2017, que é a primeira competência prevista pelo decreto. 
6. Em janeiro/2020 a ANS recebeu retorno do Datasus/MS do processamento do arquivo e iniciou as alterações para proceder os ajustes necessários.
7. Em razão da RNDS, o Datasus/MS solicitou à ANS que priorizasse o envio dos dados de Alagoas que foi definido como estado piloto para a Rede.
8. Em agosto/2020 a ANS enviou os dados de Alagoas de todo o ano de 2017 e homologou o envio a partir das ferramentas Tabnet e CMD-gestão.
9. Em razão da pandemia e da implantação da RNDS, o Datasus/MS alterou algumas prioridades de incorporação dos dados e está fazendo alguns ajustes para que os dados do CMD sejam incorporados à RNDS. Por esse motivo, a ANS está aguardando a orientação do Datasus/MS para proceder o envio dos dados em produção e de modo contínuo.
10. Portanto, a ação de disponibilizar para 100% dos beneficiários com o Cartão Nacional de Saúde o Registro Individualizado de Saúde é uma ação conjunta entre a ANS e o MS.</t>
  </si>
  <si>
    <t>A meta em referência é uma meta cumulativa, o que significa que o resultado deve ser analisado considerando o acumulado dos 4 anos. A meta foi atendida em sua integridade, com 989 pesquisas financiadas nos 4 anos, alcançando 103,3% da meta. Em 2019 foram financiadas 138 pesquisas, o que resulta em um resultado superior ao previsto para o ano (100 pesquisas). Quanto à referência às informações apresentadas na página 69, trazemos a seguir o texto na integra que foi enviado para compor o RAG 2019, que restou resumido na referida página. 
O investimento em estudos e pesquisas científicas e tecnológicas é realizado por intermédio de três modalidades de fomento. São elas: • Fomento Nacional – Prevê chamadas públicas de ampla concorrência para pesquisadores de todo o país. • Fomento Descentralizado – Programa Pesquisa para o SUS: Gestão Compartilhada em Saúde (PPSUS), cuja concorrência pública em chamadas de apoio à pesquisa se dá entre pesquisadores da mesma unidade federativa. • Contratação direta de pesquisas consideradas de interesse estratégico para o SUS.
Em 2019 foram apoiados 138 novos projetos de pesquisa. Desse total, 36 projetos foram apoiados no âmbito do PPSUS, 70 tiveram como origem chamadas públicas do fomento nacional e 32 receberam suporte a partir da contratação/encomenda direta. Dessas 32 pesquisas financiadas por contratação/encomenda direta, 12 foram resultado de uma seleção pública internacional, fruto de cooperação técnica com os National Institutes of Health (NIH) dos Estados Unidos da América, abordando temas de interesse recíproco na área da saúde. Na modalidade Fomento Nacional, em 2019, foram lançadas 6 chamadas públicas para seleção de projetos de pesquisa, por meio da articulação interinstitucional com o Conselho Nacional de Desenvolvimento Científico e Tecnológico (CNPq). Das 6 chamadas lançadas, 5 tiveram projetos contratados em 2019, totalizando 70 pesquisas contratadas, no âmbito das seguintes chamadas: a) Alimentação e Nutrição (36 projetos); b) pesquisas para fortalecimento dos objetivos e diretrizes da Rede de Cuidados à Pessoa com Deficiência no âmbito do Sistema Único de Saúde (SUS) (6 projetos); c) Inquérito sobre perfil de Doenças Raras no Brasil (1 projeto); d) Doenças Transmissíveis e Negligenciadas (16 projetos); e e) prevenção, detecção e combate à Malária (11 projetos). A sexta chamada pública lançada, no final 2019, visa a seleção de projetos, a serem contratados em 2020, para combate à tuberculose no âmbito do BRICS.  
Considerando que a meta prevista para 2019 no Plano Plurianual (PPA) era de 100 projetos de pesquisa fomentados, o resultado alcançado foi superior ao inicialmente previsto, correspondendo a 138 % em relação ao objetivo inicial.</t>
  </si>
  <si>
    <t>As internalizações previstas foram: Tacrolimo (Farmanguinhos), Tenofovir (Funed) e Olanzapina, Quetiapina, Clozapina e Tenofovir (LAFEPE) – as visitas foram realizadas em 2017; Imatinibe e Rivastigmina (IVB) e Imatinibe (Farmanguinhos) – visitas realizadas em 2018. Quanto a valores programados, essa meta não envolve desembolso orçamentário. As internalizações referem-se à fase IV de PDP. A primeira aquisição do produto marca o início da fase III, que dura 5 anos a contar da data da primeira compra. A compra é realizada por outras áreas do MS (DAF-DELOG) e o preço do medicamento é feito baseado na última aquisição feita pelo MS, seja por PDP ou por outro instrumento, como pregão. Após a primeira aquisição o valor pode alcançar uma redução nos anos seguintes em até 5% do valor adquirido no ano anterior. Foram extintas em 2019 a PDP dos medicamentos Gosserrelina e Leuprorrelina, por solicitação formal da Instituição Pública (IP), Fundação para o Remédio Popular (FURP), em virtude da saída do parceiro privado (Cristália Produtos Químicos Farmacêuticos LTDA) e a consequente inviabilidade de a IP prosseguir com a PDP sem parceiro privado. A ação de PDP teve continuidade em 2019 e segue com monitoramento e intuito de fortalecimento, bem como a possibilidade de implementação de novos instrumentos de transferência de tecnologias e expansão da produção nacional para ampliação de acesso da população.</t>
  </si>
  <si>
    <t>A meta do quadriênio de ampliar de 13 para 18 foi alcançada já em 2017, haja vista que 25 instituições foram apoiadas apenas naquele ano. Em 2019, houve a reestruturação do MS, com extinção do Departamento do Complexo Industrial e Inovação em Saúde (DECIIS) e criação da Coordenação-Geral do Complexo Industrial da Saúde (CGCIS); uma redução orçamentária; e a publicação da Portaria nº 558/2019 do Ministério da Economia, com novas normativas de prazos e acompanhamento de projetos; que ensejaram a revisão de projetos. Após reuniões com as instituições parceiras, alguns instrumentos foram prorrogados e outros encerrados, permanecendo ainda 61 projetos com previsão orçamentária para os anos seguintes. Contudo, de acordo com a capacidade de execução das instituições foi empenhado pouco mais de 84 milhões de reais para apoio a 11 instituições públicas, sendo 24 projetos (10 novos). O PROCIS teve continuidade em 2019 e segue normalmente.</t>
  </si>
  <si>
    <t>A Secretária de Gestão do Trabalho e Educação na Saúde – SGTES/MS busca sempre utilizar do levantamento das necessidades loco-regionais por especialidades médicas e das demais categorias profissionais da saúde, por meio da verificação dos relatórios constantes no Sistema do Pró-Residência, bem como pela consulta aos órgãos colegiados envolvidos. Nos editais dos últimos quatro anos, foi adotado um critério regional que priorizou as regiões Norte, Centro-Oeste e Nordeste, por serem estas regiões as que apresentam maiores vazios assistenciais, bem como as regiões que possuem menor financiamento do Pró-Residência ao longo dos últimos dez anos. Por este critério seriam aceitas em primeiro lugar as propostas destas três regiões até o limite de 75% das bolsas a serem concedidas. Em relação as regiões Sudeste e Sul, o que se tem constatado historicamente é que já existe uma previsão de um maior número de bolsas a serem financiadas do que a efetiva necessidade destas regiões.  
Ao longo dos últimos anos, o Pró-Residência tem buscado, com base nos critérios acima apontados, preencher e atender a demanda de formação profissional para o SUS. Todas as instituições que, no referido período (2016-2019), solicitaram financiamento de bolsas, e que atenderam aos critérios de admissibilidade e de prioridade elencados, foram contempladas com a concessão das bolsas solicitadas, o que significa que a demanda das instituições foi atendida. No entanto, a quantidade de instituições solicitantes ainda é muito pequena nas regiões priorizadas, portanto, a porcentagem de bolsas concedidas permanece maior no Sul-Sudeste.</t>
  </si>
  <si>
    <t>Apesar do não alcance da meta de 60% em 2019, é oportuno destacar que cobertura de consulta odontológica programática apresentou um crecimento de 70%  no quadriênio. Passou de 26.9%, em 2016, para 45,9%, em 2019
Entre as dificuldades relatadas pelos DSEI para o alcance das metas estão aquelas relacionadas à dificuldade de acesso a aldeias remotas e de difícil acesso, dIficuldade na conclusão de licitação de insumos e  descontinuidade no suprimento de insumos, dificuldade na oferta e contratação de serviço de manutenção de equipamentos odontológicos, principalmente em municípios de pequeno porte, alta rotatividade profissional com dificuldade na contratação e reposição dos trabalhadores para certas localidades e subnotificação dos atendimentos no Sistema de Informação de Atenção à Saúde Indígena (SIASI).
Visando solucionar os problemas encontrados, a SESAI tem desenvolvido uma série de estratégias, tais como: 
- Investimento em equipamentos de transporte e contratação de hora voo (avião e helicóptero)  para acesso às aldeias de difícil acesso; 
- Estão em andamento processos licitatórios centralizados na SESAI Brasília para aquisição de insumos odontológicos básicos visando  suprir os 34 DSEI (Processos SIN n° 15342; 15341; 15343; 15355; 15346);
- Foi implementada uma rotina de monitoramento de abastecimendo de insumo odontológico nos DSEI, visando qualificar a gestão de insumos;
- Tem sido incentivado o aprimoramento dos editais de seleção de trabalhadores, bem como a ampliação da divulgação dos mesmos.
- Fortalecimento das ações de registro monitoramento e avaliação em saúde. Foram incluídos, no PNS 2020, entregas intermediárias que permitirão mapear eventuais vazios assistenciais de modo a redirecionar os serviços de saúde para as aldeias com maior necessidade, visando ampliar a cobertura e a continuidade dos servições odontológicos nas aldeias com maior necessidade.
- Apoio aos DSEI para qualificação do banco de dados (NUP SEI 25000.021748/2020-29: Ofício Circular 3 - 0013570225 e Despacho COGASI - 0014788162);  
- Monitoramento contínuo dos resultados do indicador junto aos DSEI, por meio de e-mail, com a implementação do "Painel Gerencial".</t>
  </si>
  <si>
    <t xml:space="preserve">Inicialmente, cumpre ressaltar que as metas propostas para o quadriênio 2016-2019 foram superestimadas pela então gestão da SESAI em 2015, o que, consequentemente, refletiu nas metas anuais, incluindo as metas não alcançadas em 2019. Sabe-se que, a despeito da significativa demanda por obras nas comunidades indígenas, os Distritos Sanitários ainda não possuem estrutura operacional adequada para gerir simultaneamente um grande número contratos de obras, gerando lentidão na execução física e financeira dos mesmos. 
Dentro desse contexto, dois fatores relacionados aos Distritos se sobressaem:
a) Recursos humanos insuficientes e com pouca qualificação tanto para a realização dos processos licitatórios em tempo hábil quanto para o acompanhamento dos contratos. Sabe-se que a maior parte da força de trabalho presente nos Distritos é contratada por meio de convênios, restando poucos servidores legalmente aptos à gestão dos contratos.
b) Sobrecarga das frotas de veículos e embarcações que, devido às condições geográficas extremas que dificultam o acesso à grande parte das comunidades indígenas, são destinadas prioritariamente às ações de saúde e remoção de pacientes em detrimento das ações de saneamento e edificações, dentre elas a fiscalização de obras.
Outro fator agravante, principalmente nos Distritos localizados na região da Amazônia Legal, é a participação predominante de construtoras de pequeno porte nos certames licitatórios. Por possuírem maiores chances de apresentarem baixa qualificação técnica e problemas na saúde financeira, essas empresas podem gerar atrasos no cronograma de entrega das obras ou até o abandono das mesmas. Esta situação é agravada se forem levadas em consideração as dificuldades de acesso às aldeias, o que exige maior detalhamento das propostas orçamentárias contidas nos projetos básicos, com custos elevados de transporte de materiais e mobilização de canteiro de obras.
Em 2020, mesmo com a pandemia COVID-19, que reduziu o acesso às aldeias indígenas e ocasionou a paralisação temporária de algumas obras, foram concluídas, até outubro/2020, 21 obras de reforma/ampliação de SAA, número que ultrapassa a meta de 20 obras prevista para 2019.
Desde 2019, a gestão do DEAMB vem incrementando as equipes técnicas em Brasília para apoiarem os DSEI na elaboração de projetos, termos de referência e acompanhamento de obras de perfuração de poço, ações que, até então, eram realizadas somente pelas equipes dos Distritos. Dessa forma, equipes volantes compostas por profissionais de diversas áreas foram criadas pela SESAI central para realizarem ações desta natureza.
</t>
  </si>
  <si>
    <t xml:space="preserve">Inicialmente, cumpre ressaltar que as metas propostas para o quadriênio 2016-2019 foram superestimadas pela então gestão da SESAI em 2015, o que, consequentemente, refletiu nas metas anuais, incluindo as metas não alcançadas em 2019. Sabe-se que, a despeito da significativa demanda por obras nas comunidades indígenas, os Distritos Sanitários ainda não possuem estrutura operacional adequada para gerir simultaneamente um grande número contratos de obras, gerando lentidão na execução física e financeira dos mesmos. 
Dentro desse contexto, dois fatores relacionados aos Distritos se sobressaem:
a) Recursos humanos insuficientes e com pouca qualificação tanto para a realização dos processos licitatórios em tempo hábil quanto para o acompanhamento dos contratos. Sabe-se que a maior parte da força de trabalho presente nos Distritos é contratada por meio de convênios, restando poucos servidores legalmente aptos à gestão dos contratos.
b) Sobrecarga das frotas de veículos e embarcações que, devido às condições geográficas extremas que dificultam o acesso à grande parte das comunidades indígenas, são destinadas prioritariamente às ações de saúde e remoção de pacientes em detrimento das ações de saneamento e edificações, dentre elas a fiscalização de obras.
Outro fator agravante, principalmente nos Distritos localizados na região da Amazônia Legal, é a participação predominante de construtoras de pequeno porte nos certames licitatórios. Por possuírem maiores chances de apresentarem baixa qualificação técnica e problemas na saúde financeira, essas empresas podem gerar atrasos no cronograma de entrega das obras ou até o abandono das mesmas. Esta situação é agravada se forem levadas em consideração as dificuldades de acesso às aldeias, o que exige maior detalhamento das propostas orçamentárias contidas nos projetos básicos, com custos elevados de transporte de materiais e mobilização de canteiro de obras.
Dentre os motivos elencados acima, o não alcance da meta de implantar, em 2019, 50 sistemas de abastecimento de água em aldeias com população acima de 50 habitantes, também foi afetado pela linha de corte da própria meta (população acima de 50 habitantes). Outros 12 sistemas foram implantados em aldeias com menos de 50 habitantes, demandando o mesmo esforço logístico das aldeias maiores para serem executados.
Desde 2019, a gestão do DEAMB vem incrementando as equipes técnicas em Brasília para apoiarem os DSEI na elaboração de projetos, termos de referência e acompanhamento de obras de perfuração de poço, ações que, até então, eram realizadas somente pelas equipes dos Distritos. Dessa forma, equipes volantes compostas por profissionais de diversas áreas foram criadas pela SESAI central para realizarem ações desta natureza.
</t>
  </si>
  <si>
    <t>Esclarece-se que limitações apresentadas pela base nacional do Sinan são aspectos a serem considerados frente aos valores informados no referido ciclo de monitoramento para os dados que foram inseridos no RAG 2019, o que implica em dados que se modificam a cada atualização do sistema e podem ser parciais para a interpretação do alcance ou não da referida meta. Em especial, diante das fragilidades identificadas na base nacional da rede Sinan, que pode apresentar inconsistências com bases estaduais devido a aspectos de transmissão de dados e outros -  o que ocorre, por exemplo, no caso do Estado de São Paulo - a área técnica realiza rotinas de qualificação da base de dados da tuberculose três vezes ao ano.  Informa-se que a base qualificada pela área técnica em novembro de 2020 aponta 82,7% de testagem para HIV realizada entre casos novos diagnosticados em 2018 (resultado referente à meta em 2019).  Diante dessas considerações, destaca-se que houve alcance de valores compatíveis com a meta final de 80%. Ao reconhecer que no momento do monitoramento do RAG 2019 a informação sobre o resultado do indicador refletia um dado preliminar e passível de modificação, destaca-se a importância da possibilidade de revisão e atualização dos resultados alcançados desse indicador a cada ciclo, assim que dados mais qualificados estão disponíveis.  
Em relação ao questionamento da questão orçamentária, a mesma encontra-se no item acima na meta de HIV/AIDS</t>
  </si>
  <si>
    <t>OB1.M10.1 (13): Se considerarmos por tipologia, o quantitativo de leitos que não alcançaram a meta foram os leitos de UTI adulto em 693 leitos, UCO em 46 leitos, neonatal em 73 leitos e UCINCa em 220 leitos, totalizando 1.032 leitos a  menos que o previsto. No entanto outros leitos superaram a meta prevista, tais como o de UTI Pediátrica em 133 leitos e UCINCo em 369 leitos, totalizando 502 leitos a mais.</t>
  </si>
  <si>
    <t>OB6.M2.1 (01-09): A meta prevista de 0.8 UI de fator IX contempla atender a demanda dos pacientes e manter um estoque estratégico de segurança. Por questões que envolvem a contratação deste medicamento, existem variações nos prazos de entrega ano a ano que também geram distorções no quantitativo anual disponivel para distribuição, mas como o atendimento de paciente é prioritário, essas distorções ficam restrista ao estoque de segurança, sendo que os pacientes brasileiros são atendidos adequadamente.   OB6.M2.3 (13):  Todos os pacientes foram atendidos.</t>
  </si>
  <si>
    <t>OB1.M14.1 (04-07-09-12-14), cumpre reportar que o cumprimento da meta é dependente da adesão das secretarias de saúde de estados e municípios. O descompasso entre a execução das metas físicas e financeiras nas ações orçamentária se deu em função dos requisitos da Portaria de Consolidação nº 6 de 28 de setembro de 2017, Seção X, art. 354 a 368,  que regulamenta a habilitação das centrais de regulação que implica na assunção de compromissos de difícil execução e distanciados da realidade das estruturas implantadas e das próprias políticas. No que tange ao questionamento veiculado no item OB1.M14.1 (04-07-09-12-14), cumpre informar que por ocasião do monitoramento dos compromissos assumidos pelos gestores, houverem suspensões de custeio para o municípios de João Pessoa/PB, Parnaíba/PI, Florianópolis/SC, Maceió/AL Uberaba/MG, Guarujá/SP, Caruaru/PE, São Paulo/SP,  para os Estados de Pernambuco, Bahia, Pará, Tocantins e o Distrito Federal, por não cumprimento dos requisitos estabelecidos no instrumento normativo acima referenciado. Vale destacar que foram restabelecidos o pagamento de custeio das centrais de regulação para o Estado de Pernambuco, o município de Florianópolis/SC e Caruaru/PE. Cumpre informar que os demais entes federados não apresentaram as justificativas requeridas à CGRA/DRAC/SAES/MS acerca do descumprimento dos compromissos assumidos.</t>
  </si>
  <si>
    <t xml:space="preserve">O Não alcance da meta se deu predominantemente por dificuldade por parte dos proponentes filantrópicos para o cumprimento dos critérios técnicos e normativos para celebração de convênio e pagamento pelo FNS;  Baixa articulação, difícil alinhamento e morosidade com as áreas do MS envolvidas em todo o processo (Núcleos e FNS) e cancelamento, em 2019, de propostas cadastradas e empenhadas nos exercícios anteriores. Quanto ao número de crianças diagnosticadas tardiamente, não há registros em bases de dados que tragam tal informação. 
</t>
  </si>
  <si>
    <t>O apoio aos entes federativos para que constituíssem conselhos de saúde legalmente instituídos e em funcionamento contemplou o processo de formação com educação permanente aos conselheiros de saúde em pleito, bem como a disponibilização de equipamentos de informação e comunicação aos conselhos de saúde. No entanto, a dificuldade de alguns entes federativos para elegerem seus representantes/conselheiros devido à falta de interesse dos gestores, da comunidade civil, bem como a cultura local politizada relacionada com disputas de forças em diversas regiões do pais, e, a falta de estrutura física juntamente com a recusa de algumas secretarias de saúde em disponibilizar espaço físico para o funcionamento do conselho, impediram o alcance da respectiva meta. </t>
  </si>
  <si>
    <t xml:space="preserve">Resposta Item 1: Para o alcance da meta de aumentar a proporção de pessoas vivendo com HIV/aids em tratamento com carga viral suprimida, foram realizadas ações para elaboração de diretrizes e estratégias para início imediato da terapia antirretroviral e para o aumento da retenção e redução do abandono ao tratamento. Tais ações foram possíveis por meio de atividades contínuas de monitoramento clínico junto aos Estados e capitais que permitiram a construção dessas estratégias localizadas, de forma a considerar características da gestão e da organização da rede local.
No entanto, alguns aspectos da realidade local como dificuldades financeiras para a contratação de pessoal nos estados para expansão dos serviços especializados e a demanda crescente por assistência que muitas vezes esbarra em serviços que já está sobrecarregados surgem como barreiras para a ampliação e retenção do tratamento e consequente impacto, mesmo que reduzido, no alcance da meta proposta.                                                              
Resposta Item 2: Esclarecemos que as linhas de financiamento relativas a tuberculose e a hanseníase anteriores ao Decreto 9.795 eram provenientes da mesma Ação de Governo 20YJ diferenciando-se apenas pelos números dos Planos Operacionais, conforme abaixo:
1. HIV/AIDS – Ação 20YJ – PO 0001 = R$ 61.000.000,00;
2. TUBERCULOSE – Ação 20YJ – PO 0006 = R$ 15.900.000,00;
3. HANSENÍASE – Ação 20YJ – PO 0007 – R$ 15.000.000,00.
Atualmente, os recursos da Tuberculose (R$ 15.900.000,00) e da Hanseníase (R$ 15.000.000,00) que foram incorporados pelo DCCI no exercício de 2019, no processo de reestruturação (Decreto 9.795),  são recursos provenientes da Ação de Governo 20YJ que destina-se ao financiamento de ações de vigilância, prevenção e controle. Os recursos que foram utilizados para execução das metas 5 e 6 são recursos provenientes da Ação 4370 – Atendimento à População com Medicamentos para Tratamento dos Portadores de HIV/AIDS e Outras Doenças Sexualmente Transmissíveis e/ou 20YE – Aquisição, Acondicionamento e Distribuição de Insumos para Prevenção e Controle de Doenças para HIV/AIDS, Sífilis. 
</t>
  </si>
  <si>
    <t>No ano de 2017, houve aumento dos casos autóctones de malária em todo o Brasil, de 124.176 em 2016 para 189.559 em 2017, o que representa aproximadamente 53% de aumento. Sugere-se que as reduções sucessivas dos casos de malária desde o ano de 2011 possa ter contribuído para a não priorização no controle da doença e, consequentemente, o enfraquecimento dos programas de malária nas três esferas de governo do País, levando a uma descontinuidade das ações locais. Em 2018, a redução em relação a 2017 foi de aproximadamente 1%, sendo praticamente mantido o patamar de casos do ano anterior. Neste período, os programas estaduais e municipais voltaram a atuar de forma mais incisiva sobre o controle da doença, conseguindo obter uma redução de 18,4% em 2019, quando comparado a 2018. É importante destacar também que a meta para o ano de 2016 foi cumprida e que o o aumento de casos ocorridos no ano de 2017 foi a razão para  a decisão de reajuste da meta para o ano de 2019. Nesse sentido, apesar de não ter sido atingida a meta incial para 2019, considerando o aumento expressivo no de 2017, entende-se que a redução no ano de 2019 em relação a 2018 foi significativa, o que sugere que as ações voltaram a ser intensificadas e sinaliza uma retomada na redução de casos da doença no Brasil que ocorria até o ano de 2016. Tal redução em 2019 em relação a 2018, evidencia um sucesso na ações e estratégias que foram implementadas neste ano.</t>
  </si>
  <si>
    <t>Conforme observado na meta física de 2019, a meta prevista para o fim do quadriênio foi alterada de 70% para 57%. Entretanto, a redação da meta do PNS não foi alterada. 
Buscando solucionar os problemas na aferição de dados e na melhoria da assistência prestada, a SESAI vem, ao longo da implantação desse indicador, trabalhando para qualificar a atuação das equipes para as ações de atenção nos territórios e o monitoramento dos dados no sistema de informação por meio de ações como:
- Orientações para os Distritos Sanitários Especiais Indígenas sobre a fonte, natureza e fórmula de cálculo do indicador (NUP SEI 25000.100734/2018-56, Nota (4208035);
- Monitoramento contínuo dos resultados do indicador por meio do SEI e e-mail (NUP SEI 25000.100734/2018-56:  Relatório - 4206656);
- Apoio aos DSEI para qualificação do banco de dados (NUP SEI 25000.021748/2020-29: Ofício Circular 3 - 0013570225 e Despacho COGASI - 0014788162).
- Contrução de Projeto de Aprendizagem na Primeira Infância de Crianças Indígenas em parceria com Coordenação de Saúde da Criança e Aleitamento Materno/COCAM/DAPES/SAPS/MS e Universidade Federal do Ceará/UFC (NUP SEI 25000.038300/2020-44). Este projeto prevê materiais didáticos e oficinas para qualificação das equipes multidisciplinares de saúde indígena no contexto das ações de crescimento e desenvolvimento infantil.</t>
  </si>
  <si>
    <t>Embora a Funasa tenha prestado algumas informações relativas ao cumprimento das metas (PAS2019 E PNS), a Instituição não dispõe de sistema de informação que permita apurar as metas e resultados com detalhamento e precisão acerca dos domicílios atendidos. Isso motivou à não inclusão de metas de MSD (área urbano e rural), Resíduos Sólidos, Abastecimento de Água (área rural) e Esgotamento Sanitário (área rural), no Plano Nacional de Saúde 2020, conforme análise da área técnica.Entretanto, ressalta-se que alguns fatores podem interferir na entrega dos resultados, tais como:
elevado prazo para apresentação de projetos de engenharia, conforme Portaria InterministeriaI nº 424/2016; reduzida capacidade institucional (técnico-administrativa); arranjos interfederativos complexos; deficiência da regulação do setor; e fragmentação dos dados sobre saneamento.</t>
  </si>
  <si>
    <t>Como há necessidade de regulamentação específica para PD&amp;I, não foi possível avanço da meta. A parceria considerada em 2018 teve solicitação da instituição para ser considerada PDP. Em 2019 foi apenas repetido o dado de 2018, como sendo cumulativo. Tal meta não prevê desembolso orçamentário, uma vez que as aquisições são feitas por outras áreas do MS.</t>
  </si>
  <si>
    <t xml:space="preserve">Em resposta ao questionamento OB7.M8.1 (01), informamos que no que se refere às competencias do DGITIS, são elaboradas notas técnicas ou ofícios em respostas aos pedidos de informações apresentados pelos diversos operadores do Direito (MP, AGU, Tribunal de Justiça e Defensoria Pública). Dentre essas solicitações, existem aquelas que versam sobre  tecnologias em saúde judicializadas no País, entretanto não existe, no âmbito do DGITIS, indicadores para mensurar os impactos das ações realizadas nos processos de Judicialização, quer seja no âmbito do MS, quer seja no âmbito dos Estados. De acordo com os Relatórios de Gestão do Ministério da Saúde de 2018 e 2019, verificou-se que apenas para doenças raras foram gastos em judicialização R$1,31 bilhão no primeiro ano e  R$796milhões no segundo ano, respectivamente. Em que pese a redução ter ocorrido, conforme consta no Relatório de 2019, por  “negociações entabuladas com fornecedores na busca do menor preço nas aquisições”, entende-se que os subsídios fornecidos pelo DGITIS, aos operadores do Direito, auxilia na prevenção de ajuizamento de ações judiciais, quando estes são fornecidos em sede de procedimentos administrativos do Ministério Público ou Defensoria Pública, ou mesmo no deferimento de decisões em desfavor da União quando de ações judiciais.
No período de 2016-2019 foram publicados 99 PCDT, dentre os quais 63 atualizações e 36 novos protocolos que visam orientar o cuidado à saúde disponível no SUS. Dentre os protocolos publicados no período, destacam-se que seis são voltados à condições oncológicas, colaborando para o aumento da sobrevida livre de doença e da qualidade de vida dos pacientes. 33 norteiam o tratamento de pacientes com doenças raras, permitindo que os princípios doutrinários da universalidade, integralidade e equidade sejam garantidos a esses pacientes, por meio do acesso a cuidados específicos para suas condições de saúde. Desses, destacam-se oito novos PCDT, em conformidade à Política Nacional de Atenção Integral às Pessoas com Doenças Raras publicada em 2014. Também cabe mencionar que 12 desses documentos atendem condições crônicas transmissíveis, sendo cinco novos protocolos, colaborando no controle e redução dessas doenças frente à carga global de doenças brasileira. Os demais 23 novos protocolos publicados tratam de condições atendidas no âmbito da atenção primária à saúde e na atenção especializada. No processo de revisão e elaboração de novos PCDT, foram envolvidas seis entidades (HMV, HAOC, INC, INCA, CCATES e UNB) e o custo médio de cada documento foi de 100 mil reais.
No que se refere ao questionamento OB7.M8.2 (01), segue justificativa com as devidas complementações: Em 2019, foram elaborados/revisados 23 (vinte e três) Protocolos Clínicos e Diretrizes Terapêuticas (PCDT), sendo 14 atualizações e 9 novos protocolos. Das 14 atualizações,  2  trataram de atualizações de documentos norteadores do cuidado para pacientes oncológicos (Adenocarcinoma de mama e Diretrizes Diagnósticas e Terapêuticas de Neoplasia Maligna Epitelial de Ovário); 4  eram voltados para o atendimento de doenças raras (PCDT da Acromegalia; Esclerose Múltipla, Fenilcetonúria e Púrpura Trombocitopênica Idiopática) e 8 foram atualizações diversas (Artrite Reumatoide, Diabete Melito tipo I, Dislipidemia para a Prevenção de Eventos Cardiovasculares e Pancreatite, Imunossupressão em Transplante Hepático em Pediatria, Psoríase, Síndrome de Ovários Policísticos; e Uveítes posteriores não-infecciosa). Dos 9 novos protocolos,  4 foram sobre doenças raras, nos temas Atrofia Muscular Espinhal; Hemoglobinúria Paroxística Noturna, Mucopolissacaridoses IVA e VI), que foram demandados devido à incorporação de medicamento para o tratamento da condição (nusinersena, eculizumabe, alfaelosulfase e galsulfase, respectivamente) e 5 foram novas publicações (Colangite Biliar; Diretrizes Brasileiras para o diagnóstico e tratamento das intoxicações por agrotóxicos - Capítulos 3, 4 e 5 e Hidradenite Supurativa).
Ressalta-se que no processo de revisão e elaboração de novos PCDT, foram envolvidas seis entidades (HMV, HAOC, INC, INCA, CCATES e UNB) e o custo médio de cada documento foi de 100 mil reais.
</t>
  </si>
  <si>
    <t xml:space="preserve">Em 2018, o Instituto Evandro Chagas iniciou o Programa de Planejamento e Gestão da Estratégia – período 2019-2023 – e estabeleceu 11 projetos estratégicos prioritários para serem trabalhados na primeira onda de implementação, com início em 2019 e conclusão em 2020. A partir da aplicação dessas definições e a respeito dos projetos de pesquisas, houve uma readequação na relação dos projetos desenvolvidos pelo IEC, motivo pelo qual o quantitativo final, em 2019, totalizou 450 pesquisas, abaixo da meta institucional. O projeto estratégico intitulado “Planejamento da Pesquisa e Vigilância”, vem estabelecendo critérios de priorização para execução das pesquisas, bem como constituindo uma rede de avaliação de projetos institucionais visando agregar projetos com sinergia para otimização de recursos financeiros e humanos, sem prescindir as entregas à sociedade. Somado as questões de melhorias no desenvolvimento de um trabalho por gestão de resultados, o IEC tem passado, nos últimos anos, por uma intensa redução do seu quadro de pesquisadores dado que o único concurso público da instituição ocorreu 2010. A justificativa descrita na página 69 do RAG ilustra os produtos de nossas pesquisas. As pesquisas conduzidas no IEC contribuem com a formação de recursos humanos para o SUS e gestão do conhecimento para além das entregas de seus resultados. Uma pesquisa planejada não foi realizada dado o arquivamento do Projeto 0242/16 - Chamada Pública MCTI/FINEP/FNDCT 01/2016 – ZIKA. O IEC conseguiu fomento para o projeto ZIKA em 2016. Contudo, no momento do repasse a Fundação de Apoio deveria ser credenciada junto ao MEC para apoiar as atividades do IEC. O contrato tripartite envolvendo uma instituição interveniente não era permitido sem atender à condição mencionada anteriormente. O credenciamento da FADESP no MEC ocorreu em 2018, pois precisamos nos adequar as agendas do GAT - Grupo de Assessoramento Técnico do MEC, que prove avaliações de credenciamento apenas quatro vezes ao ano. Por ser um período de eleições essas agendas sofreram prorrogações. Obtido o credenciamento da FADESP em 2018, a FINEP sinalizou positivamente e prosseguimos junto com a FADESP até chegar na etapa de aguardo do empenho em 2019. Infelizmente, em nova consulta a FINEP fomos informados sobre o cancelamento do repasse e arquivamento do projeto. A despeito do tempo decorrido, a proposta do projeto permanece relevante para a saúde pública mundial, pois continuamos sem tratamento específico para o vírus Zika e vacina profilática. Em 2016,  já era levantada hipoteses do vírus ZIKA desencadear patologias como a síndrome de Guillan Barre além dos quadros típicos da doença (microcefalia). Atualmente, acompanhamos no IEC filhos de mães infectadas por ZIKA com espectros do autismo e outras doenças neurológicas para além das mencionadas em 2016. No IEC temos buscado oferecer o atendimento e acompanhamento mínimo ao grupo de mães infectadas por ZIKA. Para isso, contamos com o apoio de parcerias que complementam a oferta de exames de imagem não disponíveis no IEC. Contudo, o trabalho de assistência médica e laboratorial de rotina, não traz a luz o porquê do vírus ZIKA ter uma performance tão devastadora à saúde humana. Doenças transmitidas por vetores, normalmente, tem seu pico epidémico a cada 5 anos. Esse fato, muito nos preocupa, pois estamos prestes a completar esse período e ter uma nova onda de casos e muito pouco conhecimento foi gerado pela ciência para minimizar o sofrimento de individuos já acometidos ou de outros que possam vir à adoecer. Ressaltamos, que as sequelas da infecção pelo ZIKA vírus limitam drasticamente a expectativa e qualidade de vida dos pacientes. Contudo, o problema de saúde pública se estende aos seus familiares, dado o grande estresse físico e emocional na busca por reabilitação de seus entes. Enfatizamos, que recursos como os disponibilizados através do edital da FINEP viabilizam um estudo aprofundado da fisiopatogênese da infecção por Zika, contribuindo para o entendimento dos espectros da doença e subsidiando os prognósticos clínicos, exames laboratoriais, tratamento e vacina. O IEC é uma das poucas instituições no mundo que concentram em um único campus um centro de tecnologia, biotério e pantel de primatas não-humanos com possibilidades de desenvolver pesquisas que venham à elucidar às questões relacionadas acima, de forma a contribuir com a entrega de melhores serviços à sociedade. 
</t>
  </si>
  <si>
    <t>Segue o último monitoramento, feito pela área responsável pela meta na Anvisa, que resgatamos de nossos arquivos: "Análise Situacional da Meta: A meta reflete a análise, pelo Sistema Nacional de Vigilância Sanitária – (SNVS), dos eventos adversos ao uso de
hemocomponentes notificados no sistema Notivisa. A investigação e a notificação dos eventos adversos (reações transfusionais - RT) devem ser realizadas pelo serviço de saúde onde a reação ocorreu ou pelo serviço de hemoterapia produtor do hemocomponente envolvido.
Cabe ao SNVS acompanhar se as RT foram investigadas adequadamente e se medidas foram tomadas para diminuição do risco sanitário. É também de responsabilidade da Vigilância Sanitária o monitoramento das notificações de RT, por meio de análise da coerência e completude da ficha de notificação recebida via sistema Notivisa e, se necessário, solicitar ao notificante que complemente ou retifique as informações onde houver lacunas e incoerência importantes.
Em 2016 foram recebidas 13.325 notificações de reações transfusionais no sistema Notivisa (excetuando-se as retificadas e os incidentes e quase-erros).
Destas, 10.841 notificações foram concluídas pelo Sistema Nacional de Vigilância Sanitária, ou seja, por técnicos das Visas estaduais, municipais ou da Anvisa, o que perfaz 81,3% de notificações concluídas.
No ano de 2017 foram concluídas 12.225 notificações das 13.567 recebidas pelo Sistema Nacional de Vigilância Sanitária, correspondendo a 90,1% das notificações concluídas.
No período de 01/10/2017 a 30/09/2018 foram consideradas válidas 15.366 notificações, destas 13.601 foram concluídas pelo sistema SNVS, alcançando o percentual de 88,51%.
No período de 01/10/2018 a 30/09/2019 foram recebidas 17.396 notificações de reações transfusionais, mas são consideradas válidas o total de 16.179 notificações, uma vez que foram identificadas 7 duplicatas por erro do sistema e 1.210 notificações que, na data de exportação dos dados, estavam na situação “retificada” (Tabela 1). Obteve-se média de 1.462 notificações/mês.
Verificou-se que 88,3% (14.288) notificações de reações transfusionais estavam concluídas pelo Sistema Nacional de Vigilância Sanitária (SNVS) na data da extração dos dados do sistema Notivisa (02/01/2020).
Cabe ressaltar que a apuração da meta é feita segundo as notificações contadas a partir de 01 de outubro do ano anterior até 30 de setembro do ano corrente.
No denominador, serão as notificações enviadas de 01 de outubro do ano anterior até 30 de setembro do ano corrente, no numerador as notificaçõesenviadas de 01 de outubro do ano anterior até 30 de setembro do ano corrente que foram concluídas de 01 de  outubro do ano anterior até 31 de dezembro do ano corrente.
Quantidade alcançada: 88,3 %
Data de Referência: 01/10/2019
Classificação da Meta: Meta alcançada
Detalhamento das justificativas: A meta não foi alcançada apenas no primeiro e no último ano de vigência deste PPA.
Destacam-se como pontos críticos que podem ter contribuído para o não atingimento da meta:
- A necessidade de harmonização de procedimentos, fluxos de análise e monitoramento dos eventos adversos do ciclo do sangue no âmbito do SNVS; e
- Área responsável pela hemovigilância está com equipe técnica defasada, o que impacta no cumprimento da meta do PPA. Após dimensionamento da força
de trabalho foi detectada a necessidade de 5 Especialistas em Regulação (40h semanais), porém a unidade responsável pela conclusão das notificações
possui apenas dois especialistas."</t>
  </si>
  <si>
    <t xml:space="preserve">No período de 2016 a 2019 foram implantadas 332 ouvidorias. Sendo:
2016: 60 ouvidorias: 1 federal, 45 estaduais, 14 municipais; 
2017: 87 ouvidorias: 51 estaduais, 36 municipais; 
2018: 131 ouvidorias: 35 federais, 21 estaduais, 75 municipais; 
2019: 54 ouvidorias: 1 federal, 7 estaduais, 46 municipais.
Encaminhamos em anexo, arquivo com o detalhamento das implantações por localidade. </t>
  </si>
  <si>
    <t>OB1.M4.1: Em função das limitações orçamentárias ao longo do ciclo, a quantidade de equipes ampliadas não atingiu a meta prevista para equipes implantadas. Ainda que tenha havido grande quantidade de habilitações ao final do período (410 equipes, em dezembro de 2019), as implantações correspondentes, ou seja, início de funcionamento de fato das equipes ocorrerão apenas no próximo período (2020). OB1.M4.2: A mudança ocorreu justamente pela análise da área técnica responsável, ao longo do período, da inviabilidade financeira e indisposição gestora dos entes federativos ao cumprimento da meta.</t>
  </si>
  <si>
    <t>OB2.M25.1 (3) e OB2.M25.2 (3): O não cumprimento da meta se deu especialmente por mudanças nas diretrizes editoriais do MS, e entendimentos quanto a elaboração de diretrizes de atenção e guias de atenção à saúde. OB2.M25.3 (3): No atual quadriênio estão previstas a realização de cursos e materiais em áudiovisual junto a UFMA no total de 20 cursos. Não há previsão de participação do CNS.</t>
  </si>
  <si>
    <t>No período de janeiro a dezembro de 2019, 2.012.528 milhões de crianças menores de um ano de idade completaram o esquema vacinal da vacina penta com três doses. No entanto, apenas 1.127 (20,23%) dos municípios alcançaram coberturas a 95% para a vacina penta.
Pontos críticos: Entre outubro de 2018 a abril de 2019 chegaram ao Brasil 3.750.000 doses dessa vacina, adquirida do laboratório Biological E. Porém, após a avaliação dos lotes, alguns obtiveram resultados insatisfatórios pelo Instituto Nacional de Controle de Qualidade em Saúde (INCQS), assim impossibilitando a sua distribuição. Além disso, a Agência Nacional de Vigilância Sanitária (Anvisa) publicou a Resolução RE n° 1.911, de 17 de julho de 2019, que informava sobre a suspensão da importação, distribuição e utilização da vacina Penta fabricada pelo laboratório Biological E. Devido a essa publicação, todos os lotes que estavam com resultados satisfatório pelo INCQS, e já́ tinham sido distribuídos para os estados, não puderam ser utilizados e estão no processo de recolhimento e incineração. Diante do exposto, para 2019 ficaram disponíveis para distribuição aos estados apenas as 2.500.000 doses de vacina do laboratório Serum, que foram enviadas em sua totalidade, não sendo suficiente para atender o público-alvo da referida vacina para o ano em questão. Com isso, houve grande impacto na cobertura vacinal.
Tabela anexa.</t>
  </si>
  <si>
    <t xml:space="preserve">O processo para o desenvolvimento e absorção de uma Parceria de Desenvolvimento Produtivo é longo e engloba diversas etapas, fases e marcos durante o processo. Estas fases são internas e externas a Fiocruz, que envolvem o próprio Ministério da Saúde, como no caso da análise da ANVISA, considerado um ponto crítico.  Há também a necessidade de que os registros dos parceiros sejam aceitos junto à ANVISA, para que possa ser solicitado o registro Fiocruz junto à Agência. Isso foi um ponto crítico sinalizado ao longo do monitoramento da meta, nos reportes realizados no sistema E-car e descrito no RAG 2019 na pág 69.
Farmanguinhos vem trabahando na continuidade das atividades de absorção de tecnologia que se mantém ativas. Segue abaixo o status de cada PDP:
4 em 1  (Rifampicina 150 mg + Etambutol 275mg + Isoniazida 75mg + Pirazinamida 400mg) comprimido revestido - Farmanguinhos analisa 100% do produto final para distribuição. Estão em andamento as validações de metodologias analticas de IFA e planejamento para fabricação de lotes pilotos em Far.
CABERGOLINA 0,5 mg (compimido) - Fabricados em Farmanguinhos 3 lotes pilotos com IFA importado em julho de 2019. Petição de inclusao de Far como local de fabrico em 03/10/2019. Registro do IFA nacional peticionado pelo cristalia em 30.07.2019 e aprovado em 15.06.2020. O produto com IFA nacional foi fabricado pelo cristalia em outubro/2018 e a petição de inclusao do IFA nacional foi realizada em 21.11.2019, deferido pela anvisa em 21.01.2020.  Farmanguinhos fabricou lote piloto com IFA nacional em novembro de 2020 - em analise. Resta finalizar a inclusão do IFA nacional.
ATAZANAVIR  200 e 300 mg (Cápsula gelatinosa dura) - Foi agendado com a BMS acompanhamento dos pilotos em Far para 09 a 13.03.2020, porem esta desmarcou devido a pandemia, mas Far manteve a data. Lotes pilotos fabricados em Far entre março e abril de 2020. Inclusão de Far como local de fabrico peticionada em 11.09.2020.  Resta inclusão do IFA nacional.
PDP FINALIZADAS:
TACROLIMO 1 e 5 mg (cápsula) - Em 10.12.2018 petição de inclusão de farmanguinhos como local de fabrico. Inicio da produção do medicamento no site de Far em 2019. Resta aumento de escala dso IFA pela parceira Libbs para inclusao do IFA nacional.
PRAMIPEXOL 0,125 mg; 0,250mg;1mg (comprimido) - Fabricação dos lotes piloto no site Farmanguinhos entre agosto/2019 e abril /2020. 02.06.2020 protocolo de inclusão de Far como local de fabrico da dosagem de 0,125mg. Inclusão de Far como local de fabrico das concentrações 0,250 e 1mg protocolada na anvisa em 12.08.2020. Protocolada na Anvisa em 28.03.2020 a inclusão do IFA nacional para as 3 concentrações.
ARV 2 EM 1 DUPLIVIR (Tenofovir + lamivudina 300mg +300mg) - (comprimidos revestidos) - Realizadas inclusões de IFA nacionais: em Janeiro 2017 foi incluido IFA tenofovir CYG  (com combinação com lamivudina Globe e lamivudina Nortec), aprovada em 02.01.2018.  Em Março de 2017, inclusão da lamivudina Globe - 27.11.2017 publicação da aprovação de inclusão de lamivudina Globe (com combinação com tenofovir aurisco e tenofovir CYG).  Lotes pilotos fabricados em Farmanguinhos entre 04.2019 e 06.2019. Inclusao de Far como local de fabrico em 08/08/2019. Resta inclusão do IFA nacional tenofovir Nortec.
SEVELÂMER 800 mg (comprimido revestido) - Lotes pilotos fabricados em Far entre maio/junho 2019. Bioequivalencia in vitro iniciada em 16.09.2019 - Relatorio enviado pelo Cristalia em 07.04.2020. Inclusão de Far como local de fabrico 09.2020. </t>
  </si>
  <si>
    <t xml:space="preserve">Como é de conhecimento público, o Ministério da Saúde sofreu ataques cibernéticos em sua rede de computadores em 4 de novembro de 2020, o que resultou na indisponibilidade de acesso aos diversos sistemas nas semanas seguintes. Em consequência, algumas áreas técnicas enfrentaram dificuldades para o levantamento dos esclarecimentos no prazo estipulado pelo Conselho Nacional de Saúde. </t>
  </si>
  <si>
    <t xml:space="preserve">Inicialmente, cumpre ressaltar que as metas propostas para o quadriênio 2016-2019 foram superestimadas pela então gestão da SESAI em 2015, o que, consequentemente, refletiu nas metas anuais, incluindo as metas não alcançadas em 2019. Sabe-se que, a despeito da significativa demanda por obras nas comunidades indígenas, os Distritos Sanitários ainda não possuem estrutura operacional adequada para gerir simultaneamente um grande número de contratos de obras, gerando lentidão na execução física e financeira dos mesmos. 
Nesse contexto, dois fatores relacionados aos Distritos sobressaem:
a) Recursos humanos insuficientes e com pouca qualificação tanto para a realização dos processos licitatórios em tempo hábil quanto para o acompanhamento dos contratos. A maior parte da força de trabalho dos Distritos é contratada por meio de convênios, restando poucos servidores legalmente aptos à gestão dos contratos.
b) Sobrecarga das frotas de veículos e embarcações que, devido às condições geográficas extremas que dificultam o acesso à grande parte das comunidades indígenas, são destinadas prioritariamente às ações de saúde e remoção de pacientes em detrimento das ações de saneamento e edificações, dentre elas a fiscalização de obras.
Outro fator agravante, principalmente nos Distritos localizados na região da Amazônia Legal, é a participação predominante de construtoras de pequeno porte nos certames licitatórios. Por possuírem maiores chances de apresentarem baixa qualificação técnica e problemas na saúde financeira, essas empresas podem gerar atrasos no cronograma de entrega das obras ou até o abandono das mesmas. Esta situação é agravada se forem levadas em consideração as dificuldades de acesso às aldeias, o que exige maior detalhamento das propostas orçamentárias contidas nos projetos básicos, com custos elevados de transporte de materiais e mobilização de canteiro de obras.
O não alcance da meta estipulada em implantar em 148 aldeias a destinação final adequada dos dejetos (2016-2019) também foi motivada pela priorização das coordenações distritais em realizarem obras abastecimento de água e estabelecimentos de saúde em detrimento das obras de esgotamento sanitário. Neste quadriênio, por exemplo, foram construídas, reformadas ou ampliadas 153 UBSI, 29 sedes de Polo Base, 13 Unidades de Apoio/Alojamentos e 4 sedes de Distrito, números que não constam em nenhuma meta, mas que também demandaram esforços dos DSEI.
Desde 2019, a gestão do DEAMB vem incrementando as equipes técnicas em Brasília para apoiarem os DSEI na elaboração de projetos, termos de referência e acompanhamento de obras de perfuração de poço, ações que, até então, eram realizadas somente pelas equipes dos Distritos. Dessa forma, equipes volantes compostas por profissionais de diversas áreas foram criadas pela SESAI central para realizarem ações desta natureza.
</t>
  </si>
  <si>
    <t>No último parecer técnico feito pela área resposável pela meta na Anvisa no e-CAR, não há informação sobre a atual situação de regulação do mercado de agrotóxicos e implicações dos novos projetos de lei relacionados a regulação do mercado de agrotóxicos no país. Segue o texto inserido pela área técnica da Anvisa no último monitoramento feito: "Foi planejada a conclusão do processo do Glifosato para 2019. No entanto, devido ao elevado número de contribuições da Consulta Pública e à necessidade de conclusão das etapas regulatórias necessárias após a finalização da análise técnica, não foi possível concluir a reavaliação do Glifosato em 2019"
Por outro lado, destaca-se que foi possível adiantar e concluir a reavaliação toxicológica de um outro ingrediente ativo que não estava previsto para 2019, o Tiram. A conclusão da referida reavaliação foi publicada por meio da Resolução da Diretoria Colegiada - RDC nº  320, de 28 de novembro de 2019. Por isso, com o objetivo de não reduzir o número de reavaliações concluídas no período do PPA, foi solicitado um ajuste à Assessoria de Planejamento da Anvisa para que o ingrediente ativo Tiram possa substituir o Glifosato, a fim de compor o rol de reavaliações a serem concluídas para cumprimento da meta.
De todo modo, foi possível reavaliar 6 ingredientes ativos de produtos agrotóxicos no período de 2016 a 2019. Um dos ingredientes ativos previsto para o período ainda não obteve a reavaliação concluída, mas outro ingrediente ativo previsto para 2020 foi antencipado e concluído em 2019."</t>
  </si>
  <si>
    <r>
      <t xml:space="preserve">OB2.M20.1 (03-04-07-09) e OB2.M20.3 (07): Conforme último parecer (dezembro de 2019) a meta do PNS foi superada desde abril de 2019. 
OB2.M20.2 (03): O mapeamento da distribuição nos estados brasileiros consta em anexo à este documento.
</t>
    </r>
    <r>
      <rPr>
        <sz val="10"/>
        <color rgb="FFFF0000"/>
        <rFont val="Calibri"/>
        <family val="2"/>
        <scheme val="minor"/>
      </rPr>
      <t>Planilha anexa com relação de CER.</t>
    </r>
  </si>
  <si>
    <r>
      <t xml:space="preserve">OB2.M21.1 (03-04-07-09) e  OB2.M21.2 (03): Meta não alcançada predominantemente pelas justificativas:  Escassez de profissionais técnicos ortopédicos no SUS;  Escassez de ofertas para formação de profissionais técnicos ortopédicos; Baixa capacidade instalada de serviços cumprem critérios técnicos de habilitação como oficina ortopédica; Baixo financiamento para construção e custeio de oficinas ortopédicas; Baixa governabilidade quanto a publicação de portarias de habilitação de oficinas ortopédicas de propostas já aprovadas pela Coordenação Geral de Saúde da Pessoa com Deficiência.    
</t>
    </r>
    <r>
      <rPr>
        <sz val="10"/>
        <color rgb="FFFF0000"/>
        <rFont val="Calibri"/>
        <family val="2"/>
        <scheme val="minor"/>
      </rPr>
      <t>OB2.M21.3 (03): O mapeamento da distribuição nos estados brasileiros está em anexo a este documento.</t>
    </r>
  </si>
  <si>
    <r>
      <t xml:space="preserve">OB2.M22.1 (03-07-09) e OB2.M22.3 (07): Até 2019, 293 veículos adaptados foram entregues, sendo 190 no período de 2016-2019, conforme relatório de gestão, e superando a meta estabelecida para o quadriênio.
OB2.M22.2 (03): O mapeamento da distribuição nos estados brasileiros está em anexo à este documento.
</t>
    </r>
    <r>
      <rPr>
        <sz val="10"/>
        <color rgb="FFFF0000"/>
        <rFont val="Calibri"/>
        <family val="2"/>
        <scheme val="minor"/>
      </rPr>
      <t>Planilha anexa com relação de veículos.</t>
    </r>
  </si>
  <si>
    <r>
      <t xml:space="preserve">OB1.M13.1 (04-09-12-14) e OB1.M13.2 (04):
A estimativa anual nacional é de 3.500.000 coletas no SUS (público e privado contratado),  bem como 100% das bolsas coletadas na Rede de Serviços de Hemoterapia SUS  que realizaram o Teste de Ácido Nucleico (NAT). Dessa forma, destaca-se que, apesar da realização do teste na triagem de doadores de sangue estar prevista na Portaria de Consolidação n° 5 - Anexo IV, de 28 de setembro de 2017, não é obrigatória a utilização do NAT brasileiro. A análise crítica demonstra que o percentual de não realização da meta, refere-se aos serviços de coletas, privados contratados que optaram por outro fornecedor de Kit NAT. Ressalta-se, ainda, o descumprimento dos Sítios Testadores quanto ao repasse, das informações de amostras testadas.
A estratégia de superação adotada é a sensibilização dos Sítios Testadores para que insiram as informações no gerenciador de sistema multicêntrico -  GSM-NAT e no sistema de informações ambulatoriais do SUS – SIA/SUS, de forma a englobar todas as amostras testadas, dentro do prazo estipulado, ressaltando assim a importância dessa informação estratégica para o Ministério da Saúde.
OB1.M13.3 (13) Especificar se a porcentagem faltosa foi para HIV, HCV ou HBV.
02_R- Não há porcentagem faltosa para os agentes HIV/HCV/HBV, pois a testagem é realizada em um pool de amostras (06 amostras de doadores) ou amostra individual, para detecção dos três agentes supracitados.
</t>
    </r>
    <r>
      <rPr>
        <sz val="14"/>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</si>
</sst>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_ ;\-#,##0\ "/>
    <numFmt numFmtId="166" formatCode="_-* #,##0_-;\-* #,##0_-;_-* &quot;-&quot;??_-;_-@_-"/>
  </numFmts>
  <fonts count="58" x14ac:knownFonts="1">
    <font>
      <sz val="11"/>
      <color theme="1"/>
      <name val="Calibri"/>
      <family val="2"/>
      <scheme val="minor"/>
    </font>
    <font>
      <sz val="11"/>
      <color theme="1"/>
      <name val="Calibri"/>
      <family val="2"/>
      <scheme val="minor"/>
    </font>
    <font>
      <u/>
      <sz val="11"/>
      <color theme="10"/>
      <name val="Calibri"/>
      <family val="2"/>
      <scheme val="minor"/>
    </font>
    <font>
      <b/>
      <sz val="13"/>
      <color theme="1"/>
      <name val="Calibri"/>
      <family val="2"/>
    </font>
    <font>
      <sz val="10"/>
      <color theme="1"/>
      <name val="Calibri"/>
      <family val="2"/>
      <scheme val="minor"/>
    </font>
    <font>
      <b/>
      <sz val="13"/>
      <color theme="0"/>
      <name val="Calibri"/>
      <family val="2"/>
    </font>
    <font>
      <b/>
      <sz val="10"/>
      <color rgb="FFFFFFFF"/>
      <name val="Calibri"/>
      <family val="2"/>
    </font>
    <font>
      <sz val="10"/>
      <color theme="1"/>
      <name val="Calibri"/>
      <family val="2"/>
    </font>
    <font>
      <sz val="10"/>
      <color theme="1"/>
      <name val="Times New Roman"/>
      <family val="1"/>
    </font>
    <font>
      <u/>
      <sz val="10"/>
      <color theme="10"/>
      <name val="Calibri"/>
      <family val="2"/>
      <scheme val="minor"/>
    </font>
    <font>
      <sz val="10"/>
      <color rgb="FF000000"/>
      <name val="Calibri"/>
      <family val="2"/>
    </font>
    <font>
      <sz val="10"/>
      <color theme="0"/>
      <name val="Calibri"/>
      <family val="2"/>
      <scheme val="minor"/>
    </font>
    <font>
      <sz val="9"/>
      <color theme="1"/>
      <name val="Calibri"/>
      <family val="2"/>
    </font>
    <font>
      <sz val="7"/>
      <color theme="1"/>
      <name val="Times New Roman"/>
      <family val="1"/>
    </font>
    <font>
      <sz val="9"/>
      <color rgb="FF000000"/>
      <name val="Calibri"/>
      <family val="2"/>
    </font>
    <font>
      <sz val="9"/>
      <name val="Calibri"/>
      <family val="2"/>
    </font>
    <font>
      <b/>
      <sz val="11"/>
      <color theme="1"/>
      <name val="Calibri"/>
      <family val="2"/>
    </font>
    <font>
      <b/>
      <sz val="9"/>
      <color rgb="FFFFFFFF"/>
      <name val="Calibri"/>
      <family val="2"/>
    </font>
    <font>
      <sz val="7"/>
      <color rgb="FF000000"/>
      <name val="Times New Roman"/>
      <family val="1"/>
    </font>
    <font>
      <b/>
      <sz val="12"/>
      <name val="Arial"/>
      <family val="2"/>
    </font>
    <font>
      <sz val="9.5"/>
      <color theme="1"/>
      <name val="Calibri"/>
      <family val="2"/>
    </font>
    <font>
      <sz val="8"/>
      <color theme="1"/>
      <name val="Calibri"/>
      <family val="2"/>
      <scheme val="minor"/>
    </font>
    <font>
      <sz val="9.5"/>
      <color rgb="FF000000"/>
      <name val="Calibri"/>
      <family val="2"/>
    </font>
    <font>
      <sz val="9"/>
      <color theme="1"/>
      <name val="Calibri"/>
      <family val="2"/>
      <scheme val="minor"/>
    </font>
    <font>
      <vertAlign val="superscript"/>
      <sz val="9"/>
      <color rgb="FF000000"/>
      <name val="Calibri"/>
      <family val="2"/>
    </font>
    <font>
      <b/>
      <sz val="9"/>
      <color theme="0"/>
      <name val="Calibri"/>
      <family val="2"/>
    </font>
    <font>
      <u/>
      <sz val="11"/>
      <color theme="0"/>
      <name val="Calibri"/>
      <family val="2"/>
      <scheme val="minor"/>
    </font>
    <font>
      <b/>
      <sz val="11"/>
      <color theme="1"/>
      <name val="Calibri"/>
      <family val="2"/>
      <scheme val="minor"/>
    </font>
    <font>
      <sz val="9"/>
      <color indexed="81"/>
      <name val="Tahoma"/>
      <family val="2"/>
    </font>
    <font>
      <b/>
      <sz val="9"/>
      <color indexed="81"/>
      <name val="Tahoma"/>
      <family val="2"/>
    </font>
    <font>
      <b/>
      <sz val="11"/>
      <color theme="8" tint="-0.249977111117893"/>
      <name val="Calibri"/>
      <family val="2"/>
      <scheme val="minor"/>
    </font>
    <font>
      <b/>
      <sz val="11"/>
      <color rgb="FFFF0000"/>
      <name val="Calibri"/>
      <family val="2"/>
      <scheme val="minor"/>
    </font>
    <font>
      <b/>
      <i/>
      <sz val="11"/>
      <color theme="1"/>
      <name val="Calibri"/>
      <family val="2"/>
      <scheme val="minor"/>
    </font>
    <font>
      <b/>
      <i/>
      <sz val="11"/>
      <color theme="8" tint="-0.249977111117893"/>
      <name val="Calibri"/>
      <family val="2"/>
      <scheme val="minor"/>
    </font>
    <font>
      <b/>
      <i/>
      <sz val="11"/>
      <color rgb="FFFF0000"/>
      <name val="Calibri"/>
      <family val="2"/>
      <scheme val="minor"/>
    </font>
    <font>
      <b/>
      <sz val="20"/>
      <color theme="1"/>
      <name val="Calibri"/>
      <family val="2"/>
      <scheme val="minor"/>
    </font>
    <font>
      <sz val="12"/>
      <color theme="1"/>
      <name val="Calibri"/>
      <family val="2"/>
      <scheme val="minor"/>
    </font>
    <font>
      <b/>
      <i/>
      <sz val="10"/>
      <color theme="1"/>
      <name val="Calibri"/>
      <family val="2"/>
      <scheme val="minor"/>
    </font>
    <font>
      <b/>
      <i/>
      <sz val="12"/>
      <color theme="1"/>
      <name val="Calibri"/>
      <family val="2"/>
      <scheme val="minor"/>
    </font>
    <font>
      <i/>
      <sz val="12"/>
      <color theme="1"/>
      <name val="Calibri"/>
      <family val="2"/>
      <scheme val="minor"/>
    </font>
    <font>
      <i/>
      <u/>
      <sz val="12"/>
      <color theme="1"/>
      <name val="Calibri"/>
      <family val="2"/>
      <scheme val="minor"/>
    </font>
    <font>
      <b/>
      <i/>
      <u/>
      <sz val="12"/>
      <color theme="1"/>
      <name val="Calibri"/>
      <family val="2"/>
      <scheme val="minor"/>
    </font>
    <font>
      <b/>
      <i/>
      <sz val="11"/>
      <name val="Calibri"/>
      <family val="2"/>
      <scheme val="minor"/>
    </font>
    <font>
      <b/>
      <sz val="10"/>
      <color theme="1"/>
      <name val="Calibri"/>
      <family val="2"/>
      <scheme val="minor"/>
    </font>
    <font>
      <b/>
      <sz val="20"/>
      <color theme="0"/>
      <name val="Calibri"/>
      <family val="2"/>
      <scheme val="minor"/>
    </font>
    <font>
      <b/>
      <sz val="11"/>
      <color theme="0"/>
      <name val="Calibri"/>
      <family val="2"/>
      <scheme val="minor"/>
    </font>
    <font>
      <sz val="11"/>
      <name val="Calibri"/>
      <family val="2"/>
      <scheme val="minor"/>
    </font>
    <font>
      <b/>
      <sz val="10"/>
      <color rgb="FF000000"/>
      <name val="Calibri"/>
      <family val="2"/>
    </font>
    <font>
      <sz val="8"/>
      <name val="Calibri"/>
      <family val="2"/>
      <scheme val="minor"/>
    </font>
    <font>
      <b/>
      <sz val="11"/>
      <color rgb="FFFFFFFF"/>
      <name val="Calibri"/>
      <family val="2"/>
    </font>
    <font>
      <sz val="11"/>
      <color rgb="FF000000"/>
      <name val="Arial"/>
      <family val="2"/>
    </font>
    <font>
      <b/>
      <i/>
      <sz val="10"/>
      <color rgb="FF000000"/>
      <name val="Arial"/>
      <family val="2"/>
    </font>
    <font>
      <sz val="10"/>
      <name val="Calibri"/>
      <family val="2"/>
      <scheme val="minor"/>
    </font>
    <font>
      <sz val="10"/>
      <color rgb="FFFF0000"/>
      <name val="Calibri"/>
      <family val="2"/>
      <scheme val="minor"/>
    </font>
    <font>
      <sz val="13"/>
      <color theme="1"/>
      <name val="Calibri"/>
      <family val="2"/>
      <scheme val="minor"/>
    </font>
    <font>
      <b/>
      <sz val="13"/>
      <name val="Calibri"/>
      <family val="2"/>
      <scheme val="minor"/>
    </font>
    <font>
      <sz val="11"/>
      <name val="Calibri"/>
      <family val="2"/>
    </font>
    <font>
      <sz val="14"/>
      <color theme="1"/>
      <name val="Calibri"/>
      <family val="2"/>
      <scheme val="minor"/>
    </font>
  </fonts>
  <fills count="26">
    <fill>
      <patternFill patternType="none"/>
    </fill>
    <fill>
      <patternFill patternType="gray125"/>
    </fill>
    <fill>
      <patternFill patternType="solid">
        <fgColor rgb="FF0070C0"/>
        <bgColor indexed="64"/>
      </patternFill>
    </fill>
    <fill>
      <patternFill patternType="solid">
        <fgColor rgb="FF1F497D"/>
        <bgColor indexed="64"/>
      </patternFill>
    </fill>
    <fill>
      <patternFill patternType="solid">
        <fgColor rgb="FFFF7C8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9"/>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tint="4.9989318521683403E-2"/>
        <bgColor indexed="64"/>
      </patternFill>
    </fill>
    <fill>
      <patternFill patternType="solid">
        <fgColor theme="1"/>
        <bgColor indexed="64"/>
      </patternFill>
    </fill>
    <fill>
      <patternFill patternType="solid">
        <fgColor rgb="FF7030A0"/>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
      <patternFill patternType="solid">
        <fgColor rgb="FF5B9BD5"/>
        <bgColor indexed="64"/>
      </patternFill>
    </fill>
    <fill>
      <patternFill patternType="solid">
        <fgColor rgb="FFFF0000"/>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249977111117893"/>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cellStyleXfs>
  <cellXfs count="434">
    <xf numFmtId="0" fontId="0" fillId="0" borderId="0" xfId="0"/>
    <xf numFmtId="0" fontId="4" fillId="0" borderId="0" xfId="0" applyFont="1"/>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0" borderId="13" xfId="0" applyFont="1" applyBorder="1" applyAlignment="1">
      <alignment horizontal="left" vertical="center" wrapText="1" indent="2"/>
    </xf>
    <xf numFmtId="0" fontId="9" fillId="0" borderId="10" xfId="3" applyFont="1" applyBorder="1" applyAlignment="1">
      <alignment vertical="center" wrapText="1"/>
    </xf>
    <xf numFmtId="3" fontId="7" fillId="0" borderId="10" xfId="0" applyNumberFormat="1" applyFont="1" applyBorder="1" applyAlignment="1">
      <alignment horizontal="center" vertical="center" wrapText="1"/>
    </xf>
    <xf numFmtId="0" fontId="9" fillId="0" borderId="10" xfId="3" applyFont="1" applyBorder="1" applyAlignment="1">
      <alignment horizontal="center" vertical="center" wrapText="1"/>
    </xf>
    <xf numFmtId="3" fontId="7" fillId="0" borderId="11" xfId="0" applyNumberFormat="1" applyFont="1" applyBorder="1" applyAlignment="1">
      <alignment horizontal="center" vertical="center" wrapText="1"/>
    </xf>
    <xf numFmtId="3" fontId="4" fillId="4" borderId="19" xfId="0" applyNumberFormat="1" applyFont="1" applyFill="1" applyBorder="1" applyAlignment="1">
      <alignment horizontal="center" vertical="center"/>
    </xf>
    <xf numFmtId="164" fontId="4" fillId="4" borderId="19" xfId="2" applyNumberFormat="1" applyFont="1" applyFill="1" applyBorder="1" applyAlignment="1">
      <alignment horizontal="center" vertical="center"/>
    </xf>
    <xf numFmtId="0" fontId="4" fillId="5" borderId="19" xfId="0" applyFont="1" applyFill="1" applyBorder="1" applyAlignment="1">
      <alignment horizontal="center" vertical="center"/>
    </xf>
    <xf numFmtId="10" fontId="4" fillId="4" borderId="20" xfId="2" applyNumberFormat="1" applyFont="1" applyFill="1" applyBorder="1" applyAlignment="1">
      <alignment horizontal="center" vertical="center"/>
    </xf>
    <xf numFmtId="0" fontId="7" fillId="0" borderId="10" xfId="0" applyFont="1" applyBorder="1" applyAlignment="1">
      <alignment vertical="center" wrapText="1"/>
    </xf>
    <xf numFmtId="3" fontId="4" fillId="4" borderId="20" xfId="0" applyNumberFormat="1" applyFont="1" applyFill="1" applyBorder="1" applyAlignment="1">
      <alignment horizontal="center" vertical="center"/>
    </xf>
    <xf numFmtId="9" fontId="4" fillId="4" borderId="20" xfId="2" applyFont="1" applyFill="1" applyBorder="1" applyAlignment="1">
      <alignment horizontal="center" vertical="center"/>
    </xf>
    <xf numFmtId="0" fontId="4" fillId="4" borderId="20" xfId="0" applyFont="1" applyFill="1" applyBorder="1" applyAlignment="1">
      <alignment horizontal="center" vertical="center"/>
    </xf>
    <xf numFmtId="0" fontId="4" fillId="5" borderId="20" xfId="0" applyFont="1" applyFill="1" applyBorder="1" applyAlignment="1">
      <alignment horizontal="center" vertical="center"/>
    </xf>
    <xf numFmtId="10" fontId="4" fillId="5" borderId="20" xfId="2" applyNumberFormat="1" applyFont="1" applyFill="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1" xfId="3" applyFont="1" applyBorder="1" applyAlignment="1">
      <alignment horizontal="center" vertical="center" wrapText="1"/>
    </xf>
    <xf numFmtId="3" fontId="4" fillId="7" borderId="20" xfId="0" applyNumberFormat="1" applyFont="1" applyFill="1" applyBorder="1" applyAlignment="1">
      <alignment horizontal="center" vertical="center"/>
    </xf>
    <xf numFmtId="0" fontId="4" fillId="7" borderId="20" xfId="0" applyFont="1" applyFill="1" applyBorder="1" applyAlignment="1">
      <alignment horizontal="center" vertical="center" wrapText="1"/>
    </xf>
    <xf numFmtId="0" fontId="7" fillId="0" borderId="11" xfId="0" applyFont="1" applyBorder="1" applyAlignment="1">
      <alignment horizontal="center" vertical="center" wrapText="1"/>
    </xf>
    <xf numFmtId="9"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 fontId="4" fillId="5" borderId="20" xfId="2" applyNumberFormat="1" applyFont="1" applyFill="1" applyBorder="1" applyAlignment="1">
      <alignment horizontal="center" vertical="center" wrapText="1"/>
    </xf>
    <xf numFmtId="9" fontId="4" fillId="5" borderId="20" xfId="2" applyFont="1" applyFill="1" applyBorder="1" applyAlignment="1">
      <alignment horizontal="center" vertical="center"/>
    </xf>
    <xf numFmtId="0" fontId="4" fillId="5" borderId="20" xfId="0" applyFont="1" applyFill="1" applyBorder="1" applyAlignment="1">
      <alignment horizontal="center" vertical="center" wrapText="1"/>
    </xf>
    <xf numFmtId="3" fontId="4" fillId="5" borderId="20" xfId="0" applyNumberFormat="1" applyFont="1" applyFill="1" applyBorder="1" applyAlignment="1">
      <alignment horizontal="center" vertical="center"/>
    </xf>
    <xf numFmtId="0" fontId="9" fillId="0" borderId="11" xfId="3" applyFont="1" applyBorder="1" applyAlignment="1">
      <alignment vertical="center" wrapText="1"/>
    </xf>
    <xf numFmtId="1" fontId="4" fillId="5" borderId="20" xfId="2" applyNumberFormat="1" applyFont="1" applyFill="1" applyBorder="1" applyAlignment="1">
      <alignment horizontal="center" vertical="center"/>
    </xf>
    <xf numFmtId="0" fontId="4" fillId="4" borderId="20" xfId="0" applyFont="1" applyFill="1" applyBorder="1" applyAlignment="1">
      <alignment horizontal="center" vertical="center" wrapText="1"/>
    </xf>
    <xf numFmtId="164" fontId="4" fillId="4" borderId="20" xfId="2" applyNumberFormat="1" applyFont="1" applyFill="1" applyBorder="1" applyAlignment="1">
      <alignment horizontal="center" vertical="center"/>
    </xf>
    <xf numFmtId="11" fontId="10" fillId="6" borderId="9" xfId="0" quotePrefix="1" applyNumberFormat="1" applyFont="1" applyFill="1" applyBorder="1" applyAlignment="1">
      <alignment horizontal="center" vertical="center" wrapText="1"/>
    </xf>
    <xf numFmtId="0" fontId="4" fillId="7" borderId="20" xfId="0" applyFont="1" applyFill="1" applyBorder="1" applyAlignment="1">
      <alignment horizontal="center" vertical="center"/>
    </xf>
    <xf numFmtId="10" fontId="4" fillId="5" borderId="21" xfId="2" applyNumberFormat="1" applyFont="1" applyFill="1" applyBorder="1" applyAlignment="1">
      <alignment horizontal="center" vertical="center"/>
    </xf>
    <xf numFmtId="0" fontId="4" fillId="0" borderId="21" xfId="0" applyFont="1" applyBorder="1"/>
    <xf numFmtId="0" fontId="10" fillId="6" borderId="21" xfId="0" applyFont="1" applyFill="1" applyBorder="1" applyAlignment="1">
      <alignment horizontal="center" vertical="center" wrapText="1"/>
    </xf>
    <xf numFmtId="0" fontId="4" fillId="0" borderId="0" xfId="0" applyFont="1" applyAlignment="1">
      <alignment horizontal="center" vertical="center"/>
    </xf>
    <xf numFmtId="0" fontId="9" fillId="0" borderId="0" xfId="3" applyFont="1" applyAlignment="1">
      <alignment vertical="center"/>
    </xf>
    <xf numFmtId="0" fontId="3" fillId="0" borderId="0" xfId="0" applyFont="1" applyAlignment="1">
      <alignment horizontal="left" vertical="center" wrapText="1"/>
    </xf>
    <xf numFmtId="0" fontId="12" fillId="0" borderId="13" xfId="0" applyFont="1" applyBorder="1" applyAlignment="1">
      <alignment horizontal="left" vertical="center" wrapText="1" indent="2"/>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 fillId="0" borderId="11" xfId="3" applyBorder="1" applyAlignment="1">
      <alignment horizontal="center" vertical="center" wrapText="1"/>
    </xf>
    <xf numFmtId="3" fontId="12" fillId="0" borderId="10" xfId="0" applyNumberFormat="1" applyFont="1" applyBorder="1" applyAlignment="1">
      <alignment horizontal="center" vertical="center"/>
    </xf>
    <xf numFmtId="3" fontId="12" fillId="0" borderId="10"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164" fontId="4" fillId="5" borderId="20" xfId="2" applyNumberFormat="1" applyFont="1" applyFill="1" applyBorder="1" applyAlignment="1">
      <alignment horizontal="center" vertical="center"/>
    </xf>
    <xf numFmtId="0" fontId="14" fillId="6" borderId="10" xfId="0" applyFont="1" applyFill="1" applyBorder="1" applyAlignment="1">
      <alignment horizontal="center" vertical="center" wrapText="1"/>
    </xf>
    <xf numFmtId="0" fontId="15" fillId="0" borderId="10" xfId="0" applyFont="1" applyBorder="1" applyAlignment="1">
      <alignment vertical="center" wrapText="1"/>
    </xf>
    <xf numFmtId="0" fontId="4" fillId="9" borderId="20" xfId="0" applyFont="1" applyFill="1" applyBorder="1" applyAlignment="1">
      <alignment horizontal="center" vertical="center"/>
    </xf>
    <xf numFmtId="3" fontId="14" fillId="6" borderId="10" xfId="0" applyNumberFormat="1" applyFont="1" applyFill="1" applyBorder="1" applyAlignment="1">
      <alignment horizontal="center" vertical="center" wrapText="1"/>
    </xf>
    <xf numFmtId="3" fontId="15"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4" fillId="0" borderId="0" xfId="0" applyFont="1" applyAlignment="1">
      <alignment horizontal="left"/>
    </xf>
    <xf numFmtId="0" fontId="7" fillId="0" borderId="13" xfId="0" applyFont="1" applyBorder="1" applyAlignment="1">
      <alignment horizontal="left" vertical="center" wrapText="1"/>
    </xf>
    <xf numFmtId="0" fontId="2" fillId="0" borderId="0" xfId="3" applyAlignment="1">
      <alignment horizontal="left" vertical="center"/>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2" fillId="0" borderId="13" xfId="3" applyBorder="1" applyAlignment="1">
      <alignment horizontal="left" vertical="center" wrapText="1" indent="2"/>
    </xf>
    <xf numFmtId="0" fontId="14" fillId="0" borderId="10" xfId="0" applyFont="1" applyBorder="1" applyAlignment="1">
      <alignment vertical="center" wrapText="1"/>
    </xf>
    <xf numFmtId="0" fontId="7" fillId="6" borderId="1" xfId="0" applyFont="1" applyFill="1" applyBorder="1" applyAlignment="1">
      <alignment horizontal="center" vertical="center" wrapText="1"/>
    </xf>
    <xf numFmtId="0" fontId="14" fillId="0" borderId="13" xfId="0" applyFont="1" applyBorder="1" applyAlignment="1">
      <alignment horizontal="left" vertical="center" wrapText="1" indent="2"/>
    </xf>
    <xf numFmtId="0" fontId="12" fillId="0" borderId="0" xfId="0" applyFont="1" applyAlignment="1">
      <alignment horizontal="left" vertical="center" wrapText="1" indent="2"/>
    </xf>
    <xf numFmtId="0" fontId="12" fillId="0" borderId="0" xfId="0" applyFont="1" applyAlignment="1">
      <alignment vertical="center" wrapText="1"/>
    </xf>
    <xf numFmtId="3" fontId="12" fillId="0" borderId="0" xfId="0" applyNumberFormat="1" applyFont="1" applyAlignment="1">
      <alignment horizontal="center" vertical="center"/>
    </xf>
    <xf numFmtId="0" fontId="12" fillId="0" borderId="0" xfId="0" applyFont="1" applyAlignment="1">
      <alignment horizontal="center" vertical="center" wrapText="1"/>
    </xf>
    <xf numFmtId="3" fontId="12" fillId="0" borderId="0" xfId="0" applyNumberFormat="1" applyFont="1" applyAlignment="1">
      <alignment horizontal="center" vertical="center" wrapText="1"/>
    </xf>
    <xf numFmtId="3" fontId="14" fillId="0" borderId="0" xfId="0" applyNumberFormat="1" applyFont="1" applyAlignment="1">
      <alignment horizontal="center" vertical="center" wrapText="1"/>
    </xf>
    <xf numFmtId="0" fontId="2" fillId="0" borderId="0" xfId="3" applyBorder="1" applyAlignment="1">
      <alignment horizontal="center" vertical="center" wrapText="1"/>
    </xf>
    <xf numFmtId="3" fontId="4" fillId="0" borderId="0" xfId="0" applyNumberFormat="1" applyFont="1" applyAlignment="1">
      <alignment horizontal="center" vertical="center"/>
    </xf>
    <xf numFmtId="0" fontId="2" fillId="0" borderId="0" xfId="3" applyAlignment="1">
      <alignment horizontal="left" vertical="center" wrapText="1"/>
    </xf>
    <xf numFmtId="0" fontId="19" fillId="10" borderId="22" xfId="0" applyFont="1" applyFill="1" applyBorder="1" applyAlignment="1">
      <alignment vertical="center"/>
    </xf>
    <xf numFmtId="0" fontId="17" fillId="3" borderId="3" xfId="0" applyFont="1" applyFill="1" applyBorder="1" applyAlignment="1">
      <alignment horizontal="center" vertical="center" wrapText="1"/>
    </xf>
    <xf numFmtId="0" fontId="12" fillId="0" borderId="23" xfId="0" applyFont="1" applyBorder="1" applyAlignment="1">
      <alignment horizontal="left" vertical="center" wrapText="1" indent="2"/>
    </xf>
    <xf numFmtId="0" fontId="12" fillId="0" borderId="3" xfId="0" applyFont="1" applyBorder="1" applyAlignment="1">
      <alignment vertical="center" wrapText="1"/>
    </xf>
    <xf numFmtId="10" fontId="12" fillId="0" borderId="10" xfId="0" applyNumberFormat="1" applyFont="1" applyBorder="1" applyAlignment="1">
      <alignment horizontal="center" vertical="center" wrapText="1"/>
    </xf>
    <xf numFmtId="10" fontId="14" fillId="6" borderId="10" xfId="0" applyNumberFormat="1" applyFont="1" applyFill="1" applyBorder="1" applyAlignment="1">
      <alignment horizontal="center" vertical="center" wrapText="1"/>
    </xf>
    <xf numFmtId="9" fontId="14" fillId="6" borderId="10" xfId="0" applyNumberFormat="1" applyFont="1" applyFill="1" applyBorder="1" applyAlignment="1">
      <alignment horizontal="center" vertical="center" wrapText="1"/>
    </xf>
    <xf numFmtId="0" fontId="2" fillId="6" borderId="11" xfId="3" applyFill="1" applyBorder="1" applyAlignment="1">
      <alignment horizontal="center" vertical="center" wrapText="1"/>
    </xf>
    <xf numFmtId="3" fontId="4" fillId="4" borderId="20" xfId="0" applyNumberFormat="1" applyFont="1" applyFill="1" applyBorder="1" applyAlignment="1">
      <alignment horizontal="center" vertical="center" wrapText="1"/>
    </xf>
    <xf numFmtId="10" fontId="4" fillId="4" borderId="20" xfId="2"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9" fontId="12" fillId="0" borderId="10" xfId="0" applyNumberFormat="1" applyFont="1" applyBorder="1" applyAlignment="1">
      <alignment horizontal="center" vertical="center" wrapText="1"/>
    </xf>
    <xf numFmtId="9" fontId="12" fillId="0" borderId="10" xfId="0" applyNumberFormat="1" applyFont="1" applyBorder="1" applyAlignment="1">
      <alignment horizontal="center" vertical="center"/>
    </xf>
    <xf numFmtId="0" fontId="21" fillId="4" borderId="20" xfId="0" applyFont="1" applyFill="1" applyBorder="1" applyAlignment="1">
      <alignment horizontal="center" vertical="center" wrapText="1"/>
    </xf>
    <xf numFmtId="0" fontId="22" fillId="6" borderId="9" xfId="0" applyFont="1" applyFill="1" applyBorder="1" applyAlignment="1">
      <alignment horizontal="center" vertical="center" wrapText="1"/>
    </xf>
    <xf numFmtId="9" fontId="14" fillId="0" borderId="10" xfId="0" applyNumberFormat="1" applyFont="1" applyBorder="1" applyAlignment="1">
      <alignment horizontal="center" vertical="center" wrapText="1"/>
    </xf>
    <xf numFmtId="10" fontId="14" fillId="0" borderId="10" xfId="0" applyNumberFormat="1" applyFont="1" applyBorder="1" applyAlignment="1">
      <alignment horizontal="center" vertical="center" wrapText="1"/>
    </xf>
    <xf numFmtId="10" fontId="12" fillId="0" borderId="10" xfId="0" applyNumberFormat="1" applyFont="1" applyBorder="1" applyAlignment="1">
      <alignment horizontal="center" vertical="center"/>
    </xf>
    <xf numFmtId="0" fontId="2" fillId="0" borderId="10" xfId="3" applyBorder="1" applyAlignment="1">
      <alignment horizontal="center" vertical="center" wrapText="1"/>
    </xf>
    <xf numFmtId="10" fontId="12" fillId="0" borderId="11" xfId="0" applyNumberFormat="1" applyFont="1" applyBorder="1" applyAlignment="1">
      <alignment horizontal="center" vertical="center" wrapText="1"/>
    </xf>
    <xf numFmtId="0" fontId="12" fillId="0" borderId="7" xfId="0" applyFont="1" applyBorder="1" applyAlignment="1">
      <alignment horizontal="left" vertical="center" wrapText="1" indent="2"/>
    </xf>
    <xf numFmtId="0" fontId="12" fillId="0" borderId="7" xfId="0" applyFont="1" applyBorder="1" applyAlignment="1">
      <alignment vertical="center" wrapText="1"/>
    </xf>
    <xf numFmtId="9" fontId="12" fillId="0" borderId="7" xfId="0" applyNumberFormat="1" applyFont="1" applyBorder="1" applyAlignment="1">
      <alignment horizontal="center" vertical="center"/>
    </xf>
    <xf numFmtId="10" fontId="12" fillId="0" borderId="7" xfId="0" applyNumberFormat="1" applyFont="1" applyBorder="1" applyAlignment="1">
      <alignment horizontal="center" vertical="center"/>
    </xf>
    <xf numFmtId="10" fontId="12" fillId="0" borderId="7" xfId="0" applyNumberFormat="1" applyFont="1" applyBorder="1" applyAlignment="1">
      <alignment horizontal="center" vertical="center" wrapText="1"/>
    </xf>
    <xf numFmtId="10" fontId="14" fillId="6" borderId="7" xfId="0" applyNumberFormat="1" applyFont="1" applyFill="1" applyBorder="1" applyAlignment="1">
      <alignment horizontal="center" vertical="center"/>
    </xf>
    <xf numFmtId="9" fontId="14" fillId="6" borderId="7" xfId="0" applyNumberFormat="1" applyFont="1" applyFill="1" applyBorder="1" applyAlignment="1">
      <alignment horizontal="center" vertical="center" wrapText="1"/>
    </xf>
    <xf numFmtId="9" fontId="14" fillId="6" borderId="4" xfId="0" applyNumberFormat="1"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4" fillId="0" borderId="0" xfId="0" applyFont="1" applyAlignment="1">
      <alignment vertical="center" wrapText="1"/>
    </xf>
    <xf numFmtId="10" fontId="14" fillId="6" borderId="10" xfId="0" applyNumberFormat="1" applyFont="1" applyFill="1" applyBorder="1" applyAlignment="1">
      <alignment horizontal="center" vertical="center"/>
    </xf>
    <xf numFmtId="3" fontId="14" fillId="6" borderId="10" xfId="0" applyNumberFormat="1" applyFont="1" applyFill="1" applyBorder="1" applyAlignment="1">
      <alignment horizontal="center" vertical="center"/>
    </xf>
    <xf numFmtId="10" fontId="14" fillId="6" borderId="11"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14" fillId="0" borderId="10" xfId="0" applyFont="1" applyBorder="1" applyAlignment="1">
      <alignment horizontal="center" vertical="center"/>
    </xf>
    <xf numFmtId="0" fontId="14" fillId="6" borderId="10" xfId="0" applyFont="1" applyFill="1" applyBorder="1" applyAlignment="1">
      <alignment horizontal="center" vertical="center"/>
    </xf>
    <xf numFmtId="0" fontId="12" fillId="0" borderId="10" xfId="0" applyFont="1" applyBorder="1" applyAlignment="1">
      <alignment horizontal="center" vertical="center"/>
    </xf>
    <xf numFmtId="9" fontId="14" fillId="6" borderId="24" xfId="0" applyNumberFormat="1" applyFont="1" applyFill="1" applyBorder="1" applyAlignment="1">
      <alignment horizontal="center" vertical="center" wrapText="1"/>
    </xf>
    <xf numFmtId="10" fontId="14" fillId="6" borderId="0" xfId="0" applyNumberFormat="1" applyFont="1" applyFill="1" applyAlignment="1">
      <alignment horizontal="center" vertical="center" wrapText="1"/>
    </xf>
    <xf numFmtId="0" fontId="4" fillId="0" borderId="20" xfId="0" applyFont="1" applyBorder="1" applyAlignment="1">
      <alignment horizontal="center" vertical="center"/>
    </xf>
    <xf numFmtId="0" fontId="14" fillId="6" borderId="11" xfId="0" applyFont="1" applyFill="1" applyBorder="1" applyAlignment="1">
      <alignment horizontal="center" vertical="center" wrapText="1"/>
    </xf>
    <xf numFmtId="3" fontId="12" fillId="0" borderId="11" xfId="0" applyNumberFormat="1" applyFont="1" applyBorder="1" applyAlignment="1">
      <alignment horizontal="center" vertical="center" wrapText="1"/>
    </xf>
    <xf numFmtId="3" fontId="14" fillId="6" borderId="11" xfId="0" applyNumberFormat="1" applyFont="1" applyFill="1" applyBorder="1" applyAlignment="1">
      <alignment horizontal="center" vertical="center" wrapText="1"/>
    </xf>
    <xf numFmtId="0" fontId="22" fillId="6" borderId="0" xfId="0" applyFont="1" applyFill="1" applyAlignment="1">
      <alignment horizontal="center" vertical="center" wrapText="1"/>
    </xf>
    <xf numFmtId="0" fontId="25" fillId="3" borderId="6" xfId="0" applyFont="1" applyFill="1" applyBorder="1" applyAlignment="1">
      <alignment horizontal="center" vertical="center" wrapText="1"/>
    </xf>
    <xf numFmtId="0" fontId="11" fillId="0" borderId="0" xfId="0" applyFont="1"/>
    <xf numFmtId="0" fontId="25" fillId="3" borderId="10" xfId="0" applyFont="1" applyFill="1" applyBorder="1" applyAlignment="1">
      <alignment horizontal="center" vertical="center" wrapText="1"/>
    </xf>
    <xf numFmtId="0" fontId="26" fillId="3" borderId="10" xfId="3" applyFont="1" applyFill="1" applyBorder="1" applyAlignment="1">
      <alignment horizontal="center" vertical="center" wrapText="1"/>
    </xf>
    <xf numFmtId="9" fontId="14" fillId="0" borderId="11" xfId="0" applyNumberFormat="1" applyFont="1" applyBorder="1" applyAlignment="1">
      <alignment horizontal="center" vertical="center" wrapText="1"/>
    </xf>
    <xf numFmtId="0" fontId="7" fillId="0" borderId="1" xfId="0" applyFont="1" applyBorder="1" applyAlignment="1">
      <alignment horizontal="center" vertical="center" wrapText="1"/>
    </xf>
    <xf numFmtId="10" fontId="14" fillId="0" borderId="11" xfId="0" applyNumberFormat="1" applyFont="1" applyBorder="1" applyAlignment="1">
      <alignment horizontal="center" vertical="center" wrapText="1"/>
    </xf>
    <xf numFmtId="0" fontId="2" fillId="0" borderId="0" xfId="3" applyAlignment="1">
      <alignment horizontal="justify" vertical="center"/>
    </xf>
    <xf numFmtId="0" fontId="12" fillId="0" borderId="24" xfId="0" applyFont="1" applyBorder="1" applyAlignment="1">
      <alignment horizontal="center" vertical="center" wrapText="1"/>
    </xf>
    <xf numFmtId="0" fontId="4" fillId="7" borderId="21" xfId="0" applyFont="1" applyFill="1" applyBorder="1" applyAlignment="1">
      <alignment horizontal="center" vertical="center"/>
    </xf>
    <xf numFmtId="9" fontId="12" fillId="0" borderId="11" xfId="0" applyNumberFormat="1" applyFont="1" applyBorder="1" applyAlignment="1">
      <alignment horizontal="center" vertical="center" wrapText="1"/>
    </xf>
    <xf numFmtId="0" fontId="10" fillId="6"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2" fillId="0" borderId="0" xfId="3" applyAlignment="1">
      <alignment vertical="center"/>
    </xf>
    <xf numFmtId="0" fontId="12" fillId="0" borderId="13" xfId="0" applyFont="1" applyBorder="1" applyAlignment="1">
      <alignment horizontal="left" vertical="center" wrapText="1" indent="3"/>
    </xf>
    <xf numFmtId="0" fontId="12" fillId="0" borderId="11" xfId="0" applyFont="1" applyBorder="1" applyAlignment="1">
      <alignment horizontal="center" vertical="center" wrapText="1"/>
    </xf>
    <xf numFmtId="0" fontId="7" fillId="6" borderId="9" xfId="0" applyFont="1" applyFill="1" applyBorder="1" applyAlignment="1">
      <alignment horizontal="center" vertical="center" wrapText="1"/>
    </xf>
    <xf numFmtId="165" fontId="4" fillId="4" borderId="20" xfId="1" applyNumberFormat="1" applyFont="1" applyFill="1" applyBorder="1" applyAlignment="1">
      <alignment horizontal="center" vertical="center"/>
    </xf>
    <xf numFmtId="0" fontId="17" fillId="3" borderId="7" xfId="0" applyFont="1" applyFill="1" applyBorder="1" applyAlignment="1">
      <alignment horizontal="center" vertical="center" wrapText="1"/>
    </xf>
    <xf numFmtId="0" fontId="12" fillId="0" borderId="23" xfId="0" applyFont="1" applyBorder="1" applyAlignment="1">
      <alignment horizontal="justify" vertical="center" wrapText="1"/>
    </xf>
    <xf numFmtId="0" fontId="2" fillId="0" borderId="3" xfId="3" applyBorder="1" applyAlignment="1">
      <alignment vertical="center" wrapText="1"/>
    </xf>
    <xf numFmtId="9" fontId="12" fillId="0" borderId="3" xfId="0" applyNumberFormat="1" applyFont="1" applyBorder="1" applyAlignment="1">
      <alignment horizontal="center" vertical="center" wrapText="1"/>
    </xf>
    <xf numFmtId="0" fontId="12" fillId="0" borderId="13" xfId="0" applyFont="1" applyBorder="1" applyAlignment="1">
      <alignment horizontal="justify" vertical="center" wrapText="1"/>
    </xf>
    <xf numFmtId="0" fontId="12" fillId="0" borderId="10" xfId="0" applyFont="1" applyBorder="1" applyAlignment="1">
      <alignment horizontal="justify" vertical="center" wrapText="1"/>
    </xf>
    <xf numFmtId="9" fontId="12" fillId="0" borderId="25" xfId="0" applyNumberFormat="1" applyFont="1" applyBorder="1" applyAlignment="1">
      <alignment horizontal="center" vertical="center" wrapText="1"/>
    </xf>
    <xf numFmtId="9" fontId="12" fillId="0" borderId="26" xfId="0" applyNumberFormat="1" applyFont="1" applyBorder="1" applyAlignment="1">
      <alignment horizontal="center" vertical="center" wrapText="1"/>
    </xf>
    <xf numFmtId="0" fontId="10" fillId="6" borderId="1" xfId="0" applyFont="1" applyFill="1" applyBorder="1" applyAlignment="1">
      <alignment horizontal="center" vertical="center" wrapText="1"/>
    </xf>
    <xf numFmtId="0" fontId="10" fillId="6" borderId="0" xfId="0" applyFont="1" applyFill="1" applyAlignment="1">
      <alignment horizontal="center" vertical="center" wrapText="1"/>
    </xf>
    <xf numFmtId="3" fontId="14" fillId="0" borderId="10" xfId="0" applyNumberFormat="1" applyFont="1" applyBorder="1" applyAlignment="1">
      <alignment horizontal="center" vertical="center"/>
    </xf>
    <xf numFmtId="0" fontId="4" fillId="0" borderId="1" xfId="0" applyFont="1" applyBorder="1" applyAlignment="1">
      <alignment wrapText="1"/>
    </xf>
    <xf numFmtId="9" fontId="12" fillId="0" borderId="24" xfId="0" applyNumberFormat="1" applyFont="1" applyBorder="1" applyAlignment="1">
      <alignment horizontal="center" vertical="center" wrapText="1"/>
    </xf>
    <xf numFmtId="10" fontId="12" fillId="0" borderId="0" xfId="0" applyNumberFormat="1" applyFont="1" applyAlignment="1">
      <alignment horizontal="center" vertical="center" wrapText="1"/>
    </xf>
    <xf numFmtId="0" fontId="4" fillId="7" borderId="0" xfId="0" applyFont="1" applyFill="1" applyAlignment="1">
      <alignment horizontal="center" vertical="center" wrapText="1"/>
    </xf>
    <xf numFmtId="0" fontId="2" fillId="0" borderId="10" xfId="3" applyBorder="1" applyAlignment="1">
      <alignment vertical="center" wrapText="1"/>
    </xf>
    <xf numFmtId="10" fontId="14" fillId="0" borderId="10" xfId="0" applyNumberFormat="1" applyFont="1" applyBorder="1" applyAlignment="1">
      <alignment horizontal="center" vertical="center"/>
    </xf>
    <xf numFmtId="166" fontId="0" fillId="0" borderId="0" xfId="1" applyNumberFormat="1" applyFont="1"/>
    <xf numFmtId="0" fontId="27" fillId="0" borderId="0" xfId="0" applyFont="1" applyAlignment="1">
      <alignment horizontal="center" vertical="center" wrapText="1"/>
    </xf>
    <xf numFmtId="0" fontId="3" fillId="0" borderId="0" xfId="0" applyFont="1" applyAlignment="1">
      <alignment vertical="center" wrapText="1"/>
    </xf>
    <xf numFmtId="0" fontId="27" fillId="0" borderId="20" xfId="0" applyFont="1" applyBorder="1" applyAlignment="1">
      <alignment horizontal="center" vertical="center" wrapText="1"/>
    </xf>
    <xf numFmtId="0" fontId="30" fillId="0" borderId="20" xfId="0" applyFont="1" applyBorder="1" applyAlignment="1">
      <alignment horizontal="center" vertical="center" wrapText="1"/>
    </xf>
    <xf numFmtId="0" fontId="31" fillId="0" borderId="20" xfId="0" applyFont="1" applyBorder="1" applyAlignment="1">
      <alignment horizontal="center" vertical="center" wrapText="1"/>
    </xf>
    <xf numFmtId="166" fontId="32" fillId="0" borderId="20" xfId="1" applyNumberFormat="1" applyFont="1" applyBorder="1"/>
    <xf numFmtId="166" fontId="33" fillId="0" borderId="20" xfId="1" applyNumberFormat="1" applyFont="1" applyBorder="1"/>
    <xf numFmtId="166" fontId="34" fillId="0" borderId="20" xfId="1" applyNumberFormat="1" applyFont="1" applyBorder="1"/>
    <xf numFmtId="166" fontId="32" fillId="0" borderId="20" xfId="1" applyNumberFormat="1" applyFont="1" applyBorder="1" applyAlignment="1">
      <alignment horizontal="left"/>
    </xf>
    <xf numFmtId="166" fontId="33" fillId="0" borderId="20" xfId="1" applyNumberFormat="1" applyFont="1" applyBorder="1" applyAlignment="1">
      <alignment horizontal="left"/>
    </xf>
    <xf numFmtId="166" fontId="34" fillId="0" borderId="20" xfId="1" applyNumberFormat="1" applyFont="1" applyBorder="1" applyAlignment="1">
      <alignment horizontal="left"/>
    </xf>
    <xf numFmtId="9" fontId="0" fillId="0" borderId="0" xfId="2" applyFont="1"/>
    <xf numFmtId="164" fontId="0" fillId="0" borderId="0" xfId="2" applyNumberFormat="1" applyFont="1"/>
    <xf numFmtId="9" fontId="33" fillId="0" borderId="20" xfId="2" applyFont="1" applyBorder="1" applyAlignment="1">
      <alignment horizontal="right"/>
    </xf>
    <xf numFmtId="9" fontId="34" fillId="0" borderId="20" xfId="2" applyFont="1" applyBorder="1"/>
    <xf numFmtId="9" fontId="32" fillId="0" borderId="20" xfId="2" applyNumberFormat="1" applyFont="1" applyBorder="1"/>
    <xf numFmtId="9" fontId="0" fillId="12" borderId="0" xfId="2" applyFont="1" applyFill="1"/>
    <xf numFmtId="9" fontId="33" fillId="12" borderId="20" xfId="2" applyFont="1" applyFill="1" applyBorder="1" applyAlignment="1">
      <alignment horizontal="right"/>
    </xf>
    <xf numFmtId="9" fontId="34" fillId="12" borderId="31" xfId="2" applyFont="1" applyFill="1" applyBorder="1"/>
    <xf numFmtId="9" fontId="0" fillId="12" borderId="31" xfId="2" applyFont="1" applyFill="1" applyBorder="1" applyAlignment="1">
      <alignment horizontal="center"/>
    </xf>
    <xf numFmtId="9" fontId="34" fillId="12" borderId="0" xfId="2" applyFont="1" applyFill="1" applyBorder="1"/>
    <xf numFmtId="9" fontId="0" fillId="12" borderId="0" xfId="2" applyFont="1" applyFill="1" applyBorder="1" applyAlignment="1">
      <alignment horizontal="center"/>
    </xf>
    <xf numFmtId="9" fontId="0" fillId="12" borderId="0" xfId="2" applyFont="1" applyFill="1" applyBorder="1" applyAlignment="1"/>
    <xf numFmtId="9" fontId="34" fillId="0" borderId="20" xfId="2" applyNumberFormat="1" applyFont="1" applyBorder="1"/>
    <xf numFmtId="166" fontId="32" fillId="12" borderId="31" xfId="1" applyNumberFormat="1" applyFont="1" applyFill="1" applyBorder="1"/>
    <xf numFmtId="166" fontId="34" fillId="12" borderId="31" xfId="1" applyNumberFormat="1" applyFont="1" applyFill="1" applyBorder="1"/>
    <xf numFmtId="166" fontId="32" fillId="12" borderId="0" xfId="1" applyNumberFormat="1" applyFont="1" applyFill="1" applyBorder="1"/>
    <xf numFmtId="166" fontId="34" fillId="12" borderId="0" xfId="1" applyNumberFormat="1" applyFont="1" applyFill="1" applyBorder="1"/>
    <xf numFmtId="166" fontId="42" fillId="12" borderId="20" xfId="1" applyNumberFormat="1" applyFont="1" applyFill="1" applyBorder="1"/>
    <xf numFmtId="166" fontId="42" fillId="12" borderId="20" xfId="1" applyNumberFormat="1" applyFont="1" applyFill="1" applyBorder="1" applyAlignment="1">
      <alignment horizontal="center"/>
    </xf>
    <xf numFmtId="166" fontId="42" fillId="14" borderId="20" xfId="1" applyNumberFormat="1" applyFont="1" applyFill="1" applyBorder="1"/>
    <xf numFmtId="166" fontId="42" fillId="7" borderId="20" xfId="1" applyNumberFormat="1" applyFont="1" applyFill="1" applyBorder="1"/>
    <xf numFmtId="0" fontId="43" fillId="4" borderId="20" xfId="0" applyFont="1" applyFill="1" applyBorder="1" applyAlignment="1">
      <alignment horizontal="right" vertical="center"/>
    </xf>
    <xf numFmtId="166" fontId="43" fillId="4" borderId="20" xfId="0" applyNumberFormat="1" applyFont="1" applyFill="1" applyBorder="1" applyAlignment="1">
      <alignment horizontal="right" vertical="center"/>
    </xf>
    <xf numFmtId="166" fontId="32" fillId="12" borderId="32" xfId="1" applyNumberFormat="1" applyFont="1" applyFill="1" applyBorder="1"/>
    <xf numFmtId="166" fontId="34" fillId="12" borderId="18" xfId="1" applyNumberFormat="1" applyFont="1" applyFill="1" applyBorder="1"/>
    <xf numFmtId="166" fontId="42" fillId="9" borderId="20" xfId="1" applyNumberFormat="1" applyFont="1" applyFill="1" applyBorder="1"/>
    <xf numFmtId="166" fontId="42" fillId="8" borderId="20" xfId="1" applyNumberFormat="1" applyFont="1" applyFill="1" applyBorder="1"/>
    <xf numFmtId="166" fontId="0" fillId="12" borderId="0" xfId="1" applyNumberFormat="1" applyFont="1" applyFill="1"/>
    <xf numFmtId="166" fontId="42" fillId="12" borderId="0" xfId="1" applyNumberFormat="1" applyFont="1" applyFill="1" applyBorder="1"/>
    <xf numFmtId="0" fontId="3" fillId="0" borderId="0" xfId="0" applyFont="1" applyBorder="1" applyAlignment="1">
      <alignment vertical="center" wrapText="1"/>
    </xf>
    <xf numFmtId="0" fontId="27" fillId="0" borderId="0" xfId="0" applyFont="1" applyBorder="1" applyAlignment="1">
      <alignment horizontal="center" vertical="center" wrapText="1"/>
    </xf>
    <xf numFmtId="166" fontId="0" fillId="0" borderId="0" xfId="1" applyNumberFormat="1" applyFont="1" applyBorder="1"/>
    <xf numFmtId="0" fontId="0" fillId="0" borderId="0" xfId="0" applyBorder="1"/>
    <xf numFmtId="164" fontId="0" fillId="0" borderId="0" xfId="2" applyNumberFormat="1" applyFont="1" applyBorder="1"/>
    <xf numFmtId="9" fontId="0" fillId="0" borderId="0" xfId="2" applyFont="1" applyBorder="1"/>
    <xf numFmtId="166" fontId="0" fillId="12" borderId="0" xfId="1" applyNumberFormat="1" applyFont="1" applyFill="1" applyBorder="1"/>
    <xf numFmtId="166" fontId="43" fillId="12" borderId="0" xfId="0" applyNumberFormat="1" applyFont="1" applyFill="1" applyBorder="1" applyAlignment="1">
      <alignment horizontal="right" vertical="center"/>
    </xf>
    <xf numFmtId="9" fontId="42" fillId="12" borderId="20" xfId="2" applyFont="1" applyFill="1" applyBorder="1"/>
    <xf numFmtId="166" fontId="32" fillId="12" borderId="21" xfId="1" applyNumberFormat="1" applyFont="1" applyFill="1" applyBorder="1" applyAlignment="1">
      <alignment vertical="center"/>
    </xf>
    <xf numFmtId="166" fontId="32" fillId="12" borderId="29" xfId="1" applyNumberFormat="1" applyFont="1" applyFill="1" applyBorder="1" applyAlignment="1">
      <alignment vertical="center"/>
    </xf>
    <xf numFmtId="166" fontId="42" fillId="15" borderId="20" xfId="1" applyNumberFormat="1" applyFont="1" applyFill="1" applyBorder="1"/>
    <xf numFmtId="0" fontId="0" fillId="7" borderId="34" xfId="0" applyFont="1" applyFill="1" applyBorder="1" applyAlignment="1">
      <alignment vertical="center" wrapText="1"/>
    </xf>
    <xf numFmtId="0" fontId="0" fillId="7" borderId="34" xfId="0" applyFont="1" applyFill="1" applyBorder="1" applyAlignment="1">
      <alignment horizontal="left" vertical="center" wrapText="1"/>
    </xf>
    <xf numFmtId="0" fontId="0" fillId="0" borderId="34" xfId="0" applyFont="1" applyBorder="1" applyAlignment="1">
      <alignment horizontal="left" vertical="center" wrapText="1"/>
    </xf>
    <xf numFmtId="10" fontId="0" fillId="7" borderId="34" xfId="2" applyNumberFormat="1" applyFont="1" applyFill="1" applyBorder="1" applyAlignment="1">
      <alignment horizontal="left" vertical="center" wrapText="1"/>
    </xf>
    <xf numFmtId="0" fontId="0" fillId="0" borderId="34" xfId="0" applyFont="1" applyBorder="1" applyAlignment="1">
      <alignment horizontal="center" vertical="center" wrapText="1"/>
    </xf>
    <xf numFmtId="3" fontId="0" fillId="7" borderId="34" xfId="0" applyNumberFormat="1" applyFont="1" applyFill="1" applyBorder="1" applyAlignment="1">
      <alignment horizontal="left" vertical="center" wrapText="1"/>
    </xf>
    <xf numFmtId="0" fontId="46" fillId="7" borderId="34"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34" xfId="0" applyFont="1" applyBorder="1" applyAlignment="1">
      <alignment vertical="center"/>
    </xf>
    <xf numFmtId="10" fontId="4" fillId="0" borderId="0" xfId="0" applyNumberFormat="1" applyFont="1"/>
    <xf numFmtId="0" fontId="0" fillId="13" borderId="34" xfId="0" applyFont="1" applyFill="1" applyBorder="1" applyAlignment="1">
      <alignment horizontal="left" vertical="center" wrapText="1"/>
    </xf>
    <xf numFmtId="0" fontId="0" fillId="0" borderId="34" xfId="0" applyFont="1" applyBorder="1" applyAlignment="1">
      <alignment vertical="center" wrapText="1"/>
    </xf>
    <xf numFmtId="166" fontId="0" fillId="5" borderId="34" xfId="1" applyNumberFormat="1" applyFont="1" applyFill="1" applyBorder="1" applyAlignment="1">
      <alignment horizontal="left" vertical="center" wrapText="1"/>
    </xf>
    <xf numFmtId="0" fontId="4" fillId="4" borderId="20" xfId="0" applyFont="1" applyFill="1" applyBorder="1" applyAlignment="1">
      <alignment horizontal="center" vertical="center" wrapText="1"/>
    </xf>
    <xf numFmtId="164" fontId="4" fillId="0" borderId="0" xfId="2" applyNumberFormat="1" applyFont="1"/>
    <xf numFmtId="0" fontId="6" fillId="18" borderId="35" xfId="0" applyFont="1" applyFill="1" applyBorder="1" applyAlignment="1">
      <alignment horizontal="center" vertical="center" wrapText="1" readingOrder="1"/>
    </xf>
    <xf numFmtId="3" fontId="10" fillId="19" borderId="36" xfId="0" applyNumberFormat="1" applyFont="1" applyFill="1" applyBorder="1" applyAlignment="1">
      <alignment horizontal="center" vertical="center" wrapText="1" readingOrder="1"/>
    </xf>
    <xf numFmtId="0" fontId="10" fillId="19" borderId="36" xfId="0" applyFont="1" applyFill="1" applyBorder="1" applyAlignment="1">
      <alignment horizontal="center" vertical="center" wrapText="1" readingOrder="1"/>
    </xf>
    <xf numFmtId="10" fontId="47" fillId="19" borderId="36" xfId="0" applyNumberFormat="1" applyFont="1" applyFill="1" applyBorder="1" applyAlignment="1">
      <alignment horizontal="center" vertical="center" wrapText="1" readingOrder="1"/>
    </xf>
    <xf numFmtId="3" fontId="10" fillId="20" borderId="37" xfId="0" applyNumberFormat="1" applyFont="1" applyFill="1" applyBorder="1" applyAlignment="1">
      <alignment horizontal="center" vertical="center" wrapText="1" readingOrder="1"/>
    </xf>
    <xf numFmtId="0" fontId="10" fillId="20" borderId="37" xfId="0" applyFont="1" applyFill="1" applyBorder="1" applyAlignment="1">
      <alignment horizontal="center" vertical="center" wrapText="1" readingOrder="1"/>
    </xf>
    <xf numFmtId="10" fontId="47" fillId="20" borderId="37" xfId="0" applyNumberFormat="1" applyFont="1" applyFill="1" applyBorder="1" applyAlignment="1">
      <alignment horizontal="center" vertical="center" wrapText="1" readingOrder="1"/>
    </xf>
    <xf numFmtId="3" fontId="10" fillId="19" borderId="37" xfId="0" applyNumberFormat="1" applyFont="1" applyFill="1" applyBorder="1" applyAlignment="1">
      <alignment horizontal="center" vertical="center" wrapText="1" readingOrder="1"/>
    </xf>
    <xf numFmtId="0" fontId="10" fillId="19" borderId="37" xfId="0" applyFont="1" applyFill="1" applyBorder="1" applyAlignment="1">
      <alignment horizontal="center" vertical="center" wrapText="1" readingOrder="1"/>
    </xf>
    <xf numFmtId="10" fontId="47" fillId="19" borderId="37" xfId="0" applyNumberFormat="1" applyFont="1" applyFill="1" applyBorder="1" applyAlignment="1">
      <alignment horizontal="center" vertical="center" wrapText="1" readingOrder="1"/>
    </xf>
    <xf numFmtId="0" fontId="6" fillId="18" borderId="36" xfId="0" applyFont="1" applyFill="1" applyBorder="1" applyAlignment="1">
      <alignment horizontal="center" vertical="center" wrapText="1" readingOrder="1"/>
    </xf>
    <xf numFmtId="0" fontId="6" fillId="18" borderId="37" xfId="0" applyFont="1" applyFill="1" applyBorder="1" applyAlignment="1">
      <alignment horizontal="center" vertical="center" wrapText="1" readingOrder="1"/>
    </xf>
    <xf numFmtId="10" fontId="4" fillId="0" borderId="0" xfId="2" applyNumberFormat="1" applyFont="1"/>
    <xf numFmtId="164" fontId="6" fillId="2" borderId="15" xfId="0" applyNumberFormat="1" applyFont="1" applyFill="1" applyBorder="1" applyAlignment="1">
      <alignment horizontal="center" vertical="center" wrapText="1"/>
    </xf>
    <xf numFmtId="164" fontId="4" fillId="5" borderId="20" xfId="0" applyNumberFormat="1" applyFont="1" applyFill="1" applyBorder="1" applyAlignment="1">
      <alignment horizontal="center" vertical="center"/>
    </xf>
    <xf numFmtId="164" fontId="4" fillId="7" borderId="20"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4" fillId="0" borderId="0" xfId="0" applyNumberFormat="1" applyFont="1" applyAlignment="1">
      <alignment horizontal="left" vertical="center"/>
    </xf>
    <xf numFmtId="164" fontId="4" fillId="0" borderId="0" xfId="2" applyNumberFormat="1" applyFont="1" applyFill="1" applyBorder="1" applyAlignment="1">
      <alignment horizontal="center" vertical="center"/>
    </xf>
    <xf numFmtId="164" fontId="4" fillId="4" borderId="20" xfId="0" applyNumberFormat="1" applyFont="1" applyFill="1" applyBorder="1" applyAlignment="1">
      <alignment horizontal="center" vertical="center"/>
    </xf>
    <xf numFmtId="164" fontId="4" fillId="0" borderId="20" xfId="0" applyNumberFormat="1" applyFont="1" applyBorder="1" applyAlignment="1">
      <alignment horizontal="center" vertical="center"/>
    </xf>
    <xf numFmtId="164" fontId="4" fillId="4" borderId="0" xfId="0" applyNumberFormat="1" applyFont="1" applyFill="1" applyAlignment="1">
      <alignment horizontal="center" vertical="center"/>
    </xf>
    <xf numFmtId="164" fontId="12" fillId="0" borderId="10" xfId="0" applyNumberFormat="1" applyFont="1" applyBorder="1" applyAlignment="1">
      <alignment horizontal="center" vertical="center" wrapText="1"/>
    </xf>
    <xf numFmtId="164" fontId="4" fillId="5" borderId="20" xfId="2" applyNumberFormat="1" applyFont="1" applyFill="1" applyBorder="1" applyAlignment="1">
      <alignment horizontal="center" vertical="center" wrapText="1"/>
    </xf>
    <xf numFmtId="9" fontId="4" fillId="5" borderId="20" xfId="0" applyNumberFormat="1" applyFont="1" applyFill="1" applyBorder="1" applyAlignment="1">
      <alignment horizontal="center" vertical="center"/>
    </xf>
    <xf numFmtId="10" fontId="4" fillId="5" borderId="20" xfId="1" applyNumberFormat="1" applyFont="1" applyFill="1" applyBorder="1" applyAlignment="1">
      <alignment horizontal="center" vertical="center"/>
    </xf>
    <xf numFmtId="164" fontId="4" fillId="5" borderId="20" xfId="1" applyNumberFormat="1" applyFont="1" applyFill="1" applyBorder="1" applyAlignment="1">
      <alignment horizontal="center" vertical="center"/>
    </xf>
    <xf numFmtId="164" fontId="4" fillId="5" borderId="21" xfId="2" applyNumberFormat="1"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49" fillId="2"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4" fillId="0" borderId="0" xfId="0" applyFont="1" applyFill="1"/>
    <xf numFmtId="0" fontId="45" fillId="0" borderId="0" xfId="0" applyFont="1" applyFill="1" applyBorder="1" applyAlignment="1">
      <alignment horizontal="center" vertical="center"/>
    </xf>
    <xf numFmtId="0" fontId="4" fillId="0" borderId="0" xfId="0" applyFont="1" applyAlignment="1">
      <alignment wrapText="1"/>
    </xf>
    <xf numFmtId="0" fontId="4" fillId="0" borderId="0" xfId="0" applyFont="1" applyAlignment="1">
      <alignment horizontal="left" wrapText="1"/>
    </xf>
    <xf numFmtId="0" fontId="7" fillId="0" borderId="9" xfId="0" applyFont="1" applyBorder="1" applyAlignment="1">
      <alignment horizontal="center" vertical="center" wrapText="1"/>
    </xf>
    <xf numFmtId="0" fontId="10" fillId="6" borderId="4"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4" fillId="22" borderId="0" xfId="0" applyFont="1" applyFill="1"/>
    <xf numFmtId="0" fontId="49" fillId="22" borderId="0" xfId="0" applyFont="1" applyFill="1" applyBorder="1" applyAlignment="1">
      <alignment horizontal="center" vertical="center" wrapText="1" readingOrder="1"/>
    </xf>
    <xf numFmtId="0" fontId="49" fillId="22" borderId="0" xfId="0" applyFont="1" applyFill="1" applyAlignment="1">
      <alignment horizontal="center" vertical="center" wrapText="1" readingOrder="1"/>
    </xf>
    <xf numFmtId="0" fontId="4" fillId="22" borderId="0" xfId="0" applyFont="1" applyFill="1" applyAlignment="1">
      <alignment wrapText="1"/>
    </xf>
    <xf numFmtId="0" fontId="4" fillId="22" borderId="0" xfId="0" applyFont="1" applyFill="1" applyAlignment="1">
      <alignment horizontal="left" wrapText="1"/>
    </xf>
    <xf numFmtId="0" fontId="50" fillId="22" borderId="0" xfId="0" applyFont="1" applyFill="1" applyAlignment="1">
      <alignment vertical="center" wrapText="1"/>
    </xf>
    <xf numFmtId="0" fontId="0" fillId="22" borderId="0" xfId="0" applyFill="1" applyAlignment="1">
      <alignment wrapText="1"/>
    </xf>
    <xf numFmtId="0" fontId="51" fillId="22" borderId="0" xfId="0" applyFont="1" applyFill="1" applyAlignment="1">
      <alignment horizontal="justify" vertical="center" wrapText="1"/>
    </xf>
    <xf numFmtId="10" fontId="4" fillId="22" borderId="0" xfId="0" applyNumberFormat="1" applyFont="1" applyFill="1" applyAlignment="1">
      <alignment wrapText="1"/>
    </xf>
    <xf numFmtId="0" fontId="54" fillId="0" borderId="0" xfId="0" applyFont="1"/>
    <xf numFmtId="0" fontId="54" fillId="0" borderId="0" xfId="0" applyFont="1" applyAlignment="1">
      <alignment vertical="center"/>
    </xf>
    <xf numFmtId="0" fontId="55" fillId="22" borderId="0" xfId="0" applyFont="1" applyFill="1" applyBorder="1" applyAlignment="1">
      <alignment horizontal="center" vertical="center" wrapText="1"/>
    </xf>
    <xf numFmtId="0" fontId="4" fillId="0" borderId="19" xfId="0" applyFont="1" applyBorder="1" applyAlignment="1">
      <alignment wrapText="1"/>
    </xf>
    <xf numFmtId="0" fontId="4" fillId="0" borderId="20" xfId="0" applyFont="1" applyBorder="1" applyAlignment="1">
      <alignment wrapText="1"/>
    </xf>
    <xf numFmtId="0" fontId="4" fillId="0" borderId="21" xfId="0" applyFont="1" applyBorder="1" applyAlignment="1">
      <alignment wrapText="1"/>
    </xf>
    <xf numFmtId="0" fontId="4" fillId="7" borderId="21" xfId="0" applyFont="1" applyFill="1" applyBorder="1" applyAlignment="1">
      <alignment horizontal="center" vertical="center" wrapText="1"/>
    </xf>
    <xf numFmtId="0" fontId="55" fillId="0" borderId="34" xfId="0" applyFont="1" applyBorder="1" applyAlignment="1">
      <alignment horizontal="center" vertical="center" wrapText="1"/>
    </xf>
    <xf numFmtId="0" fontId="4" fillId="0" borderId="34" xfId="0" applyFont="1" applyBorder="1" applyAlignment="1">
      <alignment vertical="center" wrapText="1"/>
    </xf>
    <xf numFmtId="0" fontId="52" fillId="0" borderId="34" xfId="0" applyFont="1" applyBorder="1" applyAlignment="1">
      <alignment vertical="center" wrapText="1"/>
    </xf>
    <xf numFmtId="0" fontId="4" fillId="0" borderId="34" xfId="0" applyFont="1" applyBorder="1" applyAlignment="1">
      <alignment horizontal="left" vertical="center" wrapText="1"/>
    </xf>
    <xf numFmtId="0" fontId="53" fillId="0" borderId="34" xfId="0" applyFont="1" applyBorder="1" applyAlignment="1">
      <alignment vertical="center" wrapText="1"/>
    </xf>
    <xf numFmtId="0" fontId="0" fillId="0" borderId="34" xfId="0" applyBorder="1" applyAlignment="1">
      <alignment vertical="center" wrapText="1"/>
    </xf>
    <xf numFmtId="0" fontId="51" fillId="0" borderId="34" xfId="0" applyFont="1" applyBorder="1" applyAlignment="1">
      <alignment horizontal="justify" vertical="center" wrapText="1"/>
    </xf>
    <xf numFmtId="10" fontId="4" fillId="0" borderId="34" xfId="0" applyNumberFormat="1" applyFont="1" applyBorder="1" applyAlignment="1">
      <alignment vertical="center" wrapText="1"/>
    </xf>
    <xf numFmtId="0" fontId="4" fillId="22" borderId="0" xfId="0" applyFont="1" applyFill="1" applyAlignment="1">
      <alignment horizontal="center" vertical="center"/>
    </xf>
    <xf numFmtId="164" fontId="4" fillId="22" borderId="0" xfId="0" applyNumberFormat="1" applyFont="1" applyFill="1" applyAlignment="1">
      <alignment horizontal="center" vertical="center"/>
    </xf>
    <xf numFmtId="0" fontId="0" fillId="22" borderId="0" xfId="0" applyFont="1" applyFill="1" applyAlignment="1">
      <alignment vertical="center"/>
    </xf>
    <xf numFmtId="0" fontId="4" fillId="22" borderId="34" xfId="0" applyFont="1" applyFill="1" applyBorder="1" applyAlignment="1">
      <alignment vertical="center" wrapText="1"/>
    </xf>
    <xf numFmtId="0" fontId="4" fillId="0" borderId="38" xfId="0" applyFont="1" applyBorder="1"/>
    <xf numFmtId="0" fontId="52" fillId="0" borderId="38" xfId="0" applyFont="1" applyBorder="1"/>
    <xf numFmtId="0" fontId="4" fillId="0" borderId="38" xfId="0" applyFont="1" applyBorder="1" applyAlignment="1">
      <alignment vertical="top"/>
    </xf>
    <xf numFmtId="0" fontId="57" fillId="12" borderId="39" xfId="0" applyFont="1" applyFill="1" applyBorder="1" applyAlignment="1">
      <alignment horizontal="left" vertical="center" wrapText="1"/>
    </xf>
    <xf numFmtId="0" fontId="4" fillId="25" borderId="38" xfId="0" applyFont="1" applyFill="1" applyBorder="1" applyAlignment="1">
      <alignment horizontal="left" vertical="center" wrapText="1"/>
    </xf>
    <xf numFmtId="0" fontId="4" fillId="24" borderId="39" xfId="0" applyFont="1" applyFill="1" applyBorder="1" applyAlignment="1">
      <alignment horizontal="left" vertical="center" wrapText="1"/>
    </xf>
    <xf numFmtId="0" fontId="4" fillId="24" borderId="39" xfId="0" applyFont="1" applyFill="1" applyBorder="1" applyAlignment="1">
      <alignment horizontal="left" vertical="top" wrapText="1"/>
    </xf>
    <xf numFmtId="49" fontId="4" fillId="24" borderId="39" xfId="0" applyNumberFormat="1" applyFont="1" applyFill="1" applyBorder="1" applyAlignment="1">
      <alignment horizontal="left" vertical="top" wrapText="1"/>
    </xf>
    <xf numFmtId="0" fontId="2" fillId="0" borderId="0" xfId="3"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2" fillId="0" borderId="7" xfId="3" applyBorder="1" applyAlignment="1">
      <alignment horizontal="center" vertical="center" wrapText="1"/>
    </xf>
    <xf numFmtId="0" fontId="2" fillId="0" borderId="13" xfId="3" applyBorder="1" applyAlignment="1">
      <alignment horizontal="center" vertical="center" wrapText="1"/>
    </xf>
    <xf numFmtId="0" fontId="10" fillId="6" borderId="4"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2" fillId="0" borderId="7" xfId="0" applyFont="1" applyBorder="1" applyAlignment="1">
      <alignment horizontal="left" vertical="center" wrapText="1" indent="2"/>
    </xf>
    <xf numFmtId="0" fontId="12" fillId="0" borderId="13" xfId="0" applyFont="1" applyBorder="1" applyAlignment="1">
      <alignment horizontal="left" vertical="center" wrapText="1" indent="2"/>
    </xf>
    <xf numFmtId="0" fontId="12" fillId="0" borderId="7" xfId="0" applyFont="1" applyBorder="1" applyAlignment="1">
      <alignment vertical="center" wrapText="1"/>
    </xf>
    <xf numFmtId="0" fontId="12" fillId="0" borderId="13" xfId="0" applyFont="1" applyBorder="1" applyAlignment="1">
      <alignment vertical="center" wrapText="1"/>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4" fillId="0" borderId="7" xfId="0" applyFont="1" applyBorder="1" applyAlignment="1">
      <alignment horizontal="center" vertical="center" wrapText="1"/>
    </xf>
    <xf numFmtId="0" fontId="14" fillId="0" borderId="13" xfId="0" applyFont="1" applyBorder="1" applyAlignment="1">
      <alignment horizontal="center" vertical="center" wrapText="1"/>
    </xf>
    <xf numFmtId="0" fontId="2" fillId="0" borderId="0" xfId="3" applyAlignment="1">
      <alignment horizontal="left" vertical="center"/>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10" fillId="6" borderId="12"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9" xfId="0" applyFont="1" applyBorder="1" applyAlignment="1">
      <alignment horizontal="center" vertical="center" wrapText="1"/>
    </xf>
    <xf numFmtId="9" fontId="12" fillId="0" borderId="7" xfId="0" applyNumberFormat="1" applyFont="1" applyBorder="1" applyAlignment="1">
      <alignment horizontal="center" vertical="center"/>
    </xf>
    <xf numFmtId="9" fontId="12" fillId="0" borderId="13" xfId="0" applyNumberFormat="1" applyFont="1" applyBorder="1" applyAlignment="1">
      <alignment horizontal="center" vertical="center"/>
    </xf>
    <xf numFmtId="0" fontId="14" fillId="6" borderId="7"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9" fillId="0" borderId="0" xfId="3" applyFont="1" applyAlignment="1">
      <alignment horizontal="left" vertical="center" wrapText="1"/>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9" fillId="0" borderId="0" xfId="3" applyFont="1" applyAlignment="1">
      <alignment horizontal="left" vertical="center"/>
    </xf>
    <xf numFmtId="0" fontId="6" fillId="3" borderId="5" xfId="0" applyFont="1" applyFill="1" applyBorder="1" applyAlignment="1">
      <alignment horizontal="center" vertical="center" wrapText="1"/>
    </xf>
    <xf numFmtId="0" fontId="45" fillId="17" borderId="0" xfId="0" applyFont="1" applyFill="1" applyBorder="1" applyAlignment="1">
      <alignment horizontal="center" vertical="center"/>
    </xf>
    <xf numFmtId="0" fontId="45" fillId="17" borderId="30" xfId="0" applyFont="1" applyFill="1" applyBorder="1" applyAlignment="1">
      <alignment horizontal="center" vertical="center"/>
    </xf>
    <xf numFmtId="0" fontId="0" fillId="7" borderId="34" xfId="0" applyFont="1" applyFill="1" applyBorder="1" applyAlignment="1">
      <alignment horizontal="left" vertical="center" wrapText="1"/>
    </xf>
    <xf numFmtId="0" fontId="49" fillId="21" borderId="34" xfId="0" applyFont="1" applyFill="1" applyBorder="1" applyAlignment="1">
      <alignment horizontal="center" vertical="center" wrapText="1" readingOrder="1"/>
    </xf>
    <xf numFmtId="0" fontId="3" fillId="0" borderId="11"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9" fillId="23" borderId="38" xfId="0" applyFont="1" applyFill="1" applyBorder="1" applyAlignment="1">
      <alignment horizontal="center" vertical="center" wrapText="1" readingOrder="1"/>
    </xf>
    <xf numFmtId="0" fontId="49" fillId="23" borderId="40" xfId="0" applyFont="1" applyFill="1" applyBorder="1" applyAlignment="1">
      <alignment horizontal="center" vertical="center" wrapText="1" readingOrder="1"/>
    </xf>
    <xf numFmtId="0" fontId="49" fillId="23" borderId="17" xfId="0" applyFont="1" applyFill="1" applyBorder="1" applyAlignment="1">
      <alignment horizontal="center" vertical="center" wrapText="1" readingOrder="1"/>
    </xf>
    <xf numFmtId="0" fontId="49" fillId="23" borderId="19" xfId="0" applyFont="1" applyFill="1" applyBorder="1" applyAlignment="1">
      <alignment horizontal="center" vertical="center" wrapText="1" readingOrder="1"/>
    </xf>
    <xf numFmtId="0" fontId="49" fillId="23" borderId="34" xfId="0" applyFont="1" applyFill="1" applyBorder="1" applyAlignment="1">
      <alignment horizontal="center" vertical="center" wrapText="1" readingOrder="1"/>
    </xf>
    <xf numFmtId="0" fontId="49" fillId="23" borderId="38" xfId="0" applyFont="1" applyFill="1" applyBorder="1" applyAlignment="1">
      <alignment horizontal="center" vertical="top" wrapText="1" readingOrder="1"/>
    </xf>
    <xf numFmtId="0" fontId="56" fillId="23" borderId="34" xfId="0" applyFont="1" applyFill="1" applyBorder="1" applyAlignment="1">
      <alignment horizontal="center" vertical="center" wrapText="1" readingOrder="1"/>
    </xf>
    <xf numFmtId="0" fontId="56" fillId="23" borderId="38" xfId="0" applyFont="1" applyFill="1" applyBorder="1" applyAlignment="1">
      <alignment horizontal="center" vertical="center" wrapText="1" readingOrder="1"/>
    </xf>
    <xf numFmtId="0" fontId="3" fillId="13" borderId="20" xfId="0" applyFont="1" applyFill="1" applyBorder="1" applyAlignment="1">
      <alignment horizontal="left" vertical="center" wrapText="1"/>
    </xf>
    <xf numFmtId="0" fontId="3" fillId="13" borderId="21" xfId="0" applyFont="1" applyFill="1" applyBorder="1" applyAlignment="1">
      <alignment horizontal="left" vertical="center" wrapText="1"/>
    </xf>
    <xf numFmtId="0" fontId="3" fillId="13" borderId="28" xfId="0" applyFont="1" applyFill="1" applyBorder="1" applyAlignment="1">
      <alignment horizontal="left" vertical="center" wrapText="1"/>
    </xf>
    <xf numFmtId="0" fontId="3" fillId="13" borderId="29" xfId="0" applyFont="1" applyFill="1" applyBorder="1" applyAlignment="1">
      <alignment horizontal="left" vertical="center" wrapText="1"/>
    </xf>
    <xf numFmtId="0" fontId="3" fillId="0" borderId="30" xfId="0" applyFont="1" applyBorder="1" applyAlignment="1">
      <alignment horizontal="center" vertical="center" wrapText="1"/>
    </xf>
    <xf numFmtId="0" fontId="0" fillId="12" borderId="30" xfId="0" applyFill="1" applyBorder="1" applyAlignment="1">
      <alignment horizontal="center"/>
    </xf>
    <xf numFmtId="0" fontId="0" fillId="12" borderId="28" xfId="0" applyFill="1" applyBorder="1" applyAlignment="1">
      <alignment horizontal="center"/>
    </xf>
    <xf numFmtId="166" fontId="42" fillId="13" borderId="21" xfId="1" applyNumberFormat="1" applyFont="1" applyFill="1" applyBorder="1" applyAlignment="1">
      <alignment horizontal="center"/>
    </xf>
    <xf numFmtId="166" fontId="42" fillId="13" borderId="28" xfId="1" applyNumberFormat="1" applyFont="1" applyFill="1" applyBorder="1" applyAlignment="1">
      <alignment horizontal="center"/>
    </xf>
    <xf numFmtId="166" fontId="42" fillId="13" borderId="29" xfId="1" applyNumberFormat="1" applyFont="1" applyFill="1" applyBorder="1" applyAlignment="1">
      <alignment horizontal="center"/>
    </xf>
    <xf numFmtId="9" fontId="39" fillId="0" borderId="20" xfId="2" applyFont="1" applyBorder="1" applyAlignment="1">
      <alignment horizontal="left" vertical="top" wrapText="1"/>
    </xf>
    <xf numFmtId="9" fontId="37" fillId="12" borderId="0" xfId="2" applyFont="1" applyFill="1" applyBorder="1" applyAlignment="1">
      <alignment horizontal="center"/>
    </xf>
    <xf numFmtId="0" fontId="35" fillId="12" borderId="28" xfId="0" applyFont="1" applyFill="1" applyBorder="1" applyAlignment="1">
      <alignment horizontal="center"/>
    </xf>
    <xf numFmtId="9" fontId="39" fillId="0" borderId="19" xfId="2" applyFont="1" applyBorder="1" applyAlignment="1">
      <alignment horizontal="left" vertical="top" wrapText="1"/>
    </xf>
    <xf numFmtId="9" fontId="36" fillId="0" borderId="28" xfId="2" applyFont="1" applyBorder="1" applyAlignment="1">
      <alignment horizontal="center" vertical="top" wrapText="1"/>
    </xf>
    <xf numFmtId="0" fontId="35" fillId="12" borderId="20" xfId="0" applyFont="1" applyFill="1" applyBorder="1" applyAlignment="1">
      <alignment horizontal="center"/>
    </xf>
    <xf numFmtId="9" fontId="0" fillId="0" borderId="30" xfId="2" applyFont="1" applyBorder="1" applyAlignment="1">
      <alignment horizontal="center"/>
    </xf>
    <xf numFmtId="166" fontId="42" fillId="13" borderId="20" xfId="1" applyNumberFormat="1" applyFont="1" applyFill="1" applyBorder="1" applyAlignment="1">
      <alignment horizontal="center"/>
    </xf>
    <xf numFmtId="0" fontId="27" fillId="0" borderId="31"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2" xfId="0" applyFont="1" applyBorder="1" applyAlignment="1">
      <alignment horizontal="center" vertical="center" wrapText="1"/>
    </xf>
    <xf numFmtId="9" fontId="32" fillId="0" borderId="20" xfId="2" applyNumberFormat="1" applyFont="1" applyBorder="1" applyAlignment="1">
      <alignment horizontal="center"/>
    </xf>
    <xf numFmtId="0" fontId="39" fillId="12" borderId="27" xfId="0" applyFont="1" applyFill="1" applyBorder="1" applyAlignment="1">
      <alignment horizontal="left"/>
    </xf>
    <xf numFmtId="0" fontId="39" fillId="12" borderId="17" xfId="0" applyFont="1" applyFill="1" applyBorder="1" applyAlignment="1">
      <alignment horizontal="left"/>
    </xf>
    <xf numFmtId="9" fontId="42" fillId="12" borderId="20" xfId="2" applyFont="1" applyFill="1" applyBorder="1" applyAlignment="1">
      <alignment horizontal="center"/>
    </xf>
    <xf numFmtId="164" fontId="0" fillId="11" borderId="20" xfId="2" applyNumberFormat="1" applyFont="1" applyFill="1" applyBorder="1" applyAlignment="1">
      <alignment horizontal="center"/>
    </xf>
    <xf numFmtId="9" fontId="0" fillId="11" borderId="20" xfId="2" applyFont="1" applyFill="1" applyBorder="1" applyAlignment="1">
      <alignment horizontal="center"/>
    </xf>
    <xf numFmtId="9" fontId="43" fillId="12" borderId="20" xfId="2" applyFont="1" applyFill="1" applyBorder="1" applyAlignment="1">
      <alignment horizontal="center" vertical="center"/>
    </xf>
    <xf numFmtId="9" fontId="0" fillId="11" borderId="21" xfId="2" applyFont="1" applyFill="1" applyBorder="1" applyAlignment="1">
      <alignment horizontal="center"/>
    </xf>
    <xf numFmtId="9" fontId="0" fillId="11" borderId="29" xfId="2" applyFont="1" applyFill="1" applyBorder="1" applyAlignment="1">
      <alignment horizontal="center"/>
    </xf>
    <xf numFmtId="0" fontId="0" fillId="12" borderId="0" xfId="0" applyFill="1" applyBorder="1" applyAlignment="1">
      <alignment horizontal="center"/>
    </xf>
    <xf numFmtId="0" fontId="0" fillId="12" borderId="31" xfId="0" applyFill="1" applyBorder="1" applyAlignment="1">
      <alignment horizontal="center"/>
    </xf>
    <xf numFmtId="0" fontId="0" fillId="0" borderId="21"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44" fillId="16" borderId="21" xfId="0" applyFont="1" applyFill="1" applyBorder="1" applyAlignment="1">
      <alignment horizontal="center" vertical="center"/>
    </xf>
    <xf numFmtId="0" fontId="44" fillId="16" borderId="28" xfId="0" applyFont="1" applyFill="1" applyBorder="1" applyAlignment="1">
      <alignment horizontal="center" vertical="center"/>
    </xf>
    <xf numFmtId="0" fontId="44" fillId="16" borderId="29" xfId="0" applyFont="1" applyFill="1" applyBorder="1" applyAlignment="1">
      <alignment horizontal="center" vertical="center"/>
    </xf>
    <xf numFmtId="0" fontId="0" fillId="0" borderId="0" xfId="0" applyAlignment="1">
      <alignment horizontal="left" vertical="center" wrapText="1"/>
    </xf>
  </cellXfs>
  <cellStyles count="5">
    <cellStyle name="Hiperlink" xfId="3" builtinId="8"/>
    <cellStyle name="Normal" xfId="0" builtinId="0"/>
    <cellStyle name="Normal 2" xfId="4" xr:uid="{00000000-0005-0000-0000-000002000000}"/>
    <cellStyle name="Porcentagem" xfId="2" builtinId="5"/>
    <cellStyle name="Vírgula" xfId="1" builtinId="3"/>
  </cellStyles>
  <dxfs count="0"/>
  <tableStyles count="0" defaultTableStyle="TableStyleMedium2" defaultPivotStyle="PivotStyleLight16"/>
  <colors>
    <mruColors>
      <color rgb="FFC6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4</xdr:col>
      <xdr:colOff>552450</xdr:colOff>
      <xdr:row>141</xdr:row>
      <xdr:rowOff>104775</xdr:rowOff>
    </xdr:from>
    <xdr:to>
      <xdr:col>7</xdr:col>
      <xdr:colOff>838200</xdr:colOff>
      <xdr:row>141</xdr:row>
      <xdr:rowOff>104775</xdr:rowOff>
    </xdr:to>
    <xdr:cxnSp macro="">
      <xdr:nvCxnSpPr>
        <xdr:cNvPr id="5" name="Conector reto 4">
          <a:extLst>
            <a:ext uri="{FF2B5EF4-FFF2-40B4-BE49-F238E27FC236}">
              <a16:creationId xmlns:a16="http://schemas.microsoft.com/office/drawing/2014/main" id="{00000000-0008-0000-0100-000005000000}"/>
            </a:ext>
          </a:extLst>
        </xdr:cNvPr>
        <xdr:cNvCxnSpPr/>
      </xdr:nvCxnSpPr>
      <xdr:spPr>
        <a:xfrm>
          <a:off x="4295775" y="20097750"/>
          <a:ext cx="38576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139</xdr:row>
      <xdr:rowOff>38100</xdr:rowOff>
    </xdr:from>
    <xdr:to>
      <xdr:col>4</xdr:col>
      <xdr:colOff>542925</xdr:colOff>
      <xdr:row>141</xdr:row>
      <xdr:rowOff>95250</xdr:rowOff>
    </xdr:to>
    <xdr:cxnSp macro="">
      <xdr:nvCxnSpPr>
        <xdr:cNvPr id="7" name="Conector de seta reta 6">
          <a:extLst>
            <a:ext uri="{FF2B5EF4-FFF2-40B4-BE49-F238E27FC236}">
              <a16:creationId xmlns:a16="http://schemas.microsoft.com/office/drawing/2014/main" id="{00000000-0008-0000-0100-000007000000}"/>
            </a:ext>
          </a:extLst>
        </xdr:cNvPr>
        <xdr:cNvCxnSpPr/>
      </xdr:nvCxnSpPr>
      <xdr:spPr>
        <a:xfrm flipV="1">
          <a:off x="4286250" y="19650075"/>
          <a:ext cx="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828675</xdr:colOff>
      <xdr:row>139</xdr:row>
      <xdr:rowOff>38100</xdr:rowOff>
    </xdr:from>
    <xdr:to>
      <xdr:col>7</xdr:col>
      <xdr:colOff>828675</xdr:colOff>
      <xdr:row>141</xdr:row>
      <xdr:rowOff>95250</xdr:rowOff>
    </xdr:to>
    <xdr:cxnSp macro="">
      <xdr:nvCxnSpPr>
        <xdr:cNvPr id="8" name="Conector de seta reta 7">
          <a:extLst>
            <a:ext uri="{FF2B5EF4-FFF2-40B4-BE49-F238E27FC236}">
              <a16:creationId xmlns:a16="http://schemas.microsoft.com/office/drawing/2014/main" id="{00000000-0008-0000-0100-000008000000}"/>
            </a:ext>
          </a:extLst>
        </xdr:cNvPr>
        <xdr:cNvCxnSpPr/>
      </xdr:nvCxnSpPr>
      <xdr:spPr>
        <a:xfrm flipV="1">
          <a:off x="8143875" y="19650075"/>
          <a:ext cx="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800100</xdr:colOff>
      <xdr:row>143</xdr:row>
      <xdr:rowOff>85725</xdr:rowOff>
    </xdr:from>
    <xdr:to>
      <xdr:col>8</xdr:col>
      <xdr:colOff>762000</xdr:colOff>
      <xdr:row>143</xdr:row>
      <xdr:rowOff>104775</xdr:rowOff>
    </xdr:to>
    <xdr:cxnSp macro="">
      <xdr:nvCxnSpPr>
        <xdr:cNvPr id="9" name="Conector reto 8">
          <a:extLst>
            <a:ext uri="{FF2B5EF4-FFF2-40B4-BE49-F238E27FC236}">
              <a16:creationId xmlns:a16="http://schemas.microsoft.com/office/drawing/2014/main" id="{00000000-0008-0000-0100-000009000000}"/>
            </a:ext>
          </a:extLst>
        </xdr:cNvPr>
        <xdr:cNvCxnSpPr/>
      </xdr:nvCxnSpPr>
      <xdr:spPr>
        <a:xfrm>
          <a:off x="5676900" y="20402550"/>
          <a:ext cx="3914775" cy="19050"/>
        </a:xfrm>
        <a:prstGeom prst="line">
          <a:avLst/>
        </a:prstGeom>
        <a:ln>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800100</xdr:colOff>
      <xdr:row>139</xdr:row>
      <xdr:rowOff>38100</xdr:rowOff>
    </xdr:from>
    <xdr:to>
      <xdr:col>5</xdr:col>
      <xdr:colOff>809625</xdr:colOff>
      <xdr:row>143</xdr:row>
      <xdr:rowOff>76200</xdr:rowOff>
    </xdr:to>
    <xdr:cxnSp macro="">
      <xdr:nvCxnSpPr>
        <xdr:cNvPr id="10" name="Conector de seta reta 9">
          <a:extLst>
            <a:ext uri="{FF2B5EF4-FFF2-40B4-BE49-F238E27FC236}">
              <a16:creationId xmlns:a16="http://schemas.microsoft.com/office/drawing/2014/main" id="{00000000-0008-0000-0100-00000A000000}"/>
            </a:ext>
          </a:extLst>
        </xdr:cNvPr>
        <xdr:cNvCxnSpPr/>
      </xdr:nvCxnSpPr>
      <xdr:spPr>
        <a:xfrm flipH="1" flipV="1">
          <a:off x="5676900" y="19650075"/>
          <a:ext cx="9525" cy="742950"/>
        </a:xfrm>
        <a:prstGeom prst="straightConnector1">
          <a:avLst/>
        </a:prstGeom>
        <a:ln>
          <a:solidFill>
            <a:schemeClr val="accent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742950</xdr:colOff>
      <xdr:row>139</xdr:row>
      <xdr:rowOff>19050</xdr:rowOff>
    </xdr:from>
    <xdr:to>
      <xdr:col>8</xdr:col>
      <xdr:colOff>762000</xdr:colOff>
      <xdr:row>143</xdr:row>
      <xdr:rowOff>104775</xdr:rowOff>
    </xdr:to>
    <xdr:cxnSp macro="">
      <xdr:nvCxnSpPr>
        <xdr:cNvPr id="11" name="Conector de seta reta 10">
          <a:extLst>
            <a:ext uri="{FF2B5EF4-FFF2-40B4-BE49-F238E27FC236}">
              <a16:creationId xmlns:a16="http://schemas.microsoft.com/office/drawing/2014/main" id="{00000000-0008-0000-0100-00000B000000}"/>
            </a:ext>
          </a:extLst>
        </xdr:cNvPr>
        <xdr:cNvCxnSpPr/>
      </xdr:nvCxnSpPr>
      <xdr:spPr>
        <a:xfrm flipH="1" flipV="1">
          <a:off x="9572625" y="19631025"/>
          <a:ext cx="19050" cy="790575"/>
        </a:xfrm>
        <a:prstGeom prst="straightConnector1">
          <a:avLst/>
        </a:prstGeom>
        <a:ln>
          <a:solidFill>
            <a:schemeClr val="accent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628650</xdr:colOff>
      <xdr:row>145</xdr:row>
      <xdr:rowOff>76200</xdr:rowOff>
    </xdr:from>
    <xdr:to>
      <xdr:col>9</xdr:col>
      <xdr:colOff>819150</xdr:colOff>
      <xdr:row>145</xdr:row>
      <xdr:rowOff>76200</xdr:rowOff>
    </xdr:to>
    <xdr:cxnSp macro="">
      <xdr:nvCxnSpPr>
        <xdr:cNvPr id="16" name="Conector reto 15">
          <a:extLst>
            <a:ext uri="{FF2B5EF4-FFF2-40B4-BE49-F238E27FC236}">
              <a16:creationId xmlns:a16="http://schemas.microsoft.com/office/drawing/2014/main" id="{00000000-0008-0000-0100-000010000000}"/>
            </a:ext>
          </a:extLst>
        </xdr:cNvPr>
        <xdr:cNvCxnSpPr/>
      </xdr:nvCxnSpPr>
      <xdr:spPr>
        <a:xfrm>
          <a:off x="6724650" y="20850225"/>
          <a:ext cx="4286250" cy="0"/>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609601</xdr:colOff>
      <xdr:row>139</xdr:row>
      <xdr:rowOff>19051</xdr:rowOff>
    </xdr:from>
    <xdr:to>
      <xdr:col>6</xdr:col>
      <xdr:colOff>619125</xdr:colOff>
      <xdr:row>145</xdr:row>
      <xdr:rowOff>66675</xdr:rowOff>
    </xdr:to>
    <xdr:cxnSp macro="">
      <xdr:nvCxnSpPr>
        <xdr:cNvPr id="19" name="Conector de seta reta 18">
          <a:extLst>
            <a:ext uri="{FF2B5EF4-FFF2-40B4-BE49-F238E27FC236}">
              <a16:creationId xmlns:a16="http://schemas.microsoft.com/office/drawing/2014/main" id="{00000000-0008-0000-0100-000013000000}"/>
            </a:ext>
          </a:extLst>
        </xdr:cNvPr>
        <xdr:cNvCxnSpPr/>
      </xdr:nvCxnSpPr>
      <xdr:spPr>
        <a:xfrm flipH="1" flipV="1">
          <a:off x="6705601" y="19631026"/>
          <a:ext cx="9524" cy="1209674"/>
        </a:xfrm>
        <a:prstGeom prst="straightConnector1">
          <a:avLst/>
        </a:prstGeom>
        <a:ln>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800101</xdr:colOff>
      <xdr:row>139</xdr:row>
      <xdr:rowOff>28576</xdr:rowOff>
    </xdr:from>
    <xdr:to>
      <xdr:col>9</xdr:col>
      <xdr:colOff>809625</xdr:colOff>
      <xdr:row>145</xdr:row>
      <xdr:rowOff>76200</xdr:rowOff>
    </xdr:to>
    <xdr:cxnSp macro="">
      <xdr:nvCxnSpPr>
        <xdr:cNvPr id="22" name="Conector de seta reta 21">
          <a:extLst>
            <a:ext uri="{FF2B5EF4-FFF2-40B4-BE49-F238E27FC236}">
              <a16:creationId xmlns:a16="http://schemas.microsoft.com/office/drawing/2014/main" id="{00000000-0008-0000-0100-000016000000}"/>
            </a:ext>
          </a:extLst>
        </xdr:cNvPr>
        <xdr:cNvCxnSpPr/>
      </xdr:nvCxnSpPr>
      <xdr:spPr>
        <a:xfrm flipH="1" flipV="1">
          <a:off x="10991851" y="19640551"/>
          <a:ext cx="9524" cy="1209674"/>
        </a:xfrm>
        <a:prstGeom prst="straightConnector1">
          <a:avLst/>
        </a:prstGeom>
        <a:ln>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2.bin" /><Relationship Id="rId4" Type="http://schemas.openxmlformats.org/officeDocument/2006/relationships/comments" Target="../comments1.xml"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35"/>
  <sheetViews>
    <sheetView tabSelected="1" zoomScaleNormal="100" workbookViewId="0">
      <pane xSplit="2" ySplit="5" topLeftCell="C6" activePane="bottomRight" state="frozen"/>
      <selection pane="bottomLeft" activeCell="A6" sqref="A6"/>
      <selection pane="topRight" activeCell="C1" sqref="C1"/>
      <selection pane="bottomRight" activeCell="W2" sqref="W2:W5"/>
    </sheetView>
  </sheetViews>
  <sheetFormatPr defaultColWidth="8.7421875" defaultRowHeight="15" x14ac:dyDescent="0.2"/>
  <cols>
    <col min="1" max="1" width="42.23828125" style="1" customWidth="1"/>
    <col min="2" max="2" width="20.17578125" style="1" customWidth="1"/>
    <col min="3" max="3" width="10.76171875" style="1" customWidth="1"/>
    <col min="4" max="4" width="12.23828125" style="1" customWidth="1"/>
    <col min="5" max="5" width="10.4921875" style="1" customWidth="1"/>
    <col min="6" max="6" width="11.703125" style="1" customWidth="1"/>
    <col min="7" max="7" width="10.4921875" style="1" customWidth="1"/>
    <col min="8" max="8" width="12.5078125" style="1" customWidth="1"/>
    <col min="9" max="9" width="10.4921875" style="1" customWidth="1"/>
    <col min="10" max="10" width="12.5078125" style="1" customWidth="1"/>
    <col min="11" max="11" width="11.56640625" style="45" customWidth="1"/>
    <col min="12" max="12" width="10.22265625" style="251" customWidth="1"/>
    <col min="13" max="13" width="15.19921875" style="45" customWidth="1"/>
    <col min="14" max="14" width="13.44921875" style="45" customWidth="1"/>
    <col min="15" max="15" width="13.5859375" style="271" customWidth="1"/>
    <col min="16" max="16" width="15.73828125" style="271" customWidth="1"/>
    <col min="17" max="17" width="2.41796875" style="1" customWidth="1"/>
    <col min="18" max="18" width="44.79296875" style="226" customWidth="1"/>
    <col min="19" max="19" width="5.51171875" style="1" customWidth="1"/>
    <col min="20" max="20" width="8.7421875" style="1"/>
    <col min="21" max="21" width="7.80078125" style="280" customWidth="1"/>
    <col min="22" max="22" width="8.7421875" style="1"/>
    <col min="23" max="23" width="74.5234375" style="294" customWidth="1"/>
    <col min="24" max="24" width="110.171875" style="1" customWidth="1"/>
    <col min="25" max="25" width="27.7109375" style="1" customWidth="1"/>
    <col min="26" max="16384" width="8.7421875" style="1"/>
  </cols>
  <sheetData>
    <row r="1" spans="1:24" s="286" customFormat="1" ht="32.1" customHeight="1" thickBot="1" x14ac:dyDescent="0.3">
      <c r="A1" s="323" t="s">
        <v>655</v>
      </c>
      <c r="B1" s="323"/>
      <c r="C1" s="323"/>
      <c r="D1" s="323"/>
      <c r="E1" s="323"/>
      <c r="F1" s="323"/>
      <c r="G1" s="323"/>
      <c r="H1" s="323"/>
      <c r="I1" s="323"/>
      <c r="J1" s="323"/>
      <c r="K1" s="323"/>
      <c r="L1" s="323"/>
      <c r="M1" s="323"/>
      <c r="N1" s="323"/>
      <c r="O1" s="323"/>
      <c r="P1" s="323"/>
      <c r="R1" s="287"/>
      <c r="U1" s="288"/>
      <c r="W1" s="293" t="s">
        <v>656</v>
      </c>
    </row>
    <row r="2" spans="1:24" ht="41.45" customHeight="1" thickBot="1" x14ac:dyDescent="0.25">
      <c r="A2" s="324" t="s">
        <v>2</v>
      </c>
      <c r="B2" s="325"/>
      <c r="C2" s="325"/>
      <c r="D2" s="325"/>
      <c r="E2" s="325"/>
      <c r="F2" s="325"/>
      <c r="G2" s="325"/>
      <c r="H2" s="325"/>
      <c r="I2" s="325"/>
      <c r="J2" s="326"/>
      <c r="K2" s="384" t="s">
        <v>3</v>
      </c>
      <c r="L2" s="385"/>
      <c r="M2" s="385"/>
      <c r="N2" s="385"/>
      <c r="O2" s="385"/>
      <c r="P2" s="385"/>
      <c r="R2" s="266" t="s">
        <v>654</v>
      </c>
      <c r="U2" s="278"/>
      <c r="W2" s="382" t="s">
        <v>679</v>
      </c>
      <c r="X2" s="387" t="s">
        <v>748</v>
      </c>
    </row>
    <row r="3" spans="1:24" ht="27.6" customHeight="1" thickBot="1" x14ac:dyDescent="0.25">
      <c r="A3" s="374" t="s">
        <v>4</v>
      </c>
      <c r="B3" s="264" t="s">
        <v>5</v>
      </c>
      <c r="C3" s="375" t="s">
        <v>6</v>
      </c>
      <c r="D3" s="376"/>
      <c r="E3" s="375" t="s">
        <v>6</v>
      </c>
      <c r="F3" s="376"/>
      <c r="G3" s="375" t="s">
        <v>6</v>
      </c>
      <c r="H3" s="376"/>
      <c r="I3" s="375" t="s">
        <v>6</v>
      </c>
      <c r="J3" s="378"/>
      <c r="K3" s="314" t="s">
        <v>7</v>
      </c>
      <c r="L3" s="322"/>
      <c r="M3" s="314" t="s">
        <v>8</v>
      </c>
      <c r="N3" s="315"/>
      <c r="O3" s="316" t="s">
        <v>9</v>
      </c>
      <c r="P3" s="329" t="s">
        <v>10</v>
      </c>
      <c r="R3" s="379" t="s">
        <v>607</v>
      </c>
      <c r="U3" s="279"/>
      <c r="W3" s="382"/>
      <c r="X3" s="388"/>
    </row>
    <row r="4" spans="1:24" ht="31.5" customHeight="1" thickBot="1" x14ac:dyDescent="0.25">
      <c r="A4" s="371"/>
      <c r="B4" s="371" t="s">
        <v>11</v>
      </c>
      <c r="C4" s="319" t="s">
        <v>12</v>
      </c>
      <c r="D4" s="320"/>
      <c r="E4" s="319" t="s">
        <v>13</v>
      </c>
      <c r="F4" s="320"/>
      <c r="G4" s="319" t="s">
        <v>14</v>
      </c>
      <c r="H4" s="320"/>
      <c r="I4" s="319" t="s">
        <v>15</v>
      </c>
      <c r="J4" s="321"/>
      <c r="K4" s="314" t="s">
        <v>16</v>
      </c>
      <c r="L4" s="322"/>
      <c r="M4" s="314" t="s">
        <v>17</v>
      </c>
      <c r="N4" s="322"/>
      <c r="O4" s="317"/>
      <c r="P4" s="330"/>
      <c r="R4" s="379"/>
      <c r="U4" s="279"/>
      <c r="W4" s="382"/>
      <c r="X4" s="388"/>
    </row>
    <row r="5" spans="1:24" ht="32.1" customHeight="1" thickBot="1" x14ac:dyDescent="0.25">
      <c r="A5" s="372"/>
      <c r="B5" s="372"/>
      <c r="C5" s="263" t="s">
        <v>18</v>
      </c>
      <c r="D5" s="263" t="s">
        <v>19</v>
      </c>
      <c r="E5" s="263" t="s">
        <v>18</v>
      </c>
      <c r="F5" s="263" t="s">
        <v>19</v>
      </c>
      <c r="G5" s="263" t="s">
        <v>18</v>
      </c>
      <c r="H5" s="263" t="s">
        <v>19</v>
      </c>
      <c r="I5" s="263" t="s">
        <v>18</v>
      </c>
      <c r="J5" s="265" t="s">
        <v>19</v>
      </c>
      <c r="K5" s="5" t="s">
        <v>20</v>
      </c>
      <c r="L5" s="248" t="s">
        <v>21</v>
      </c>
      <c r="M5" s="6" t="s">
        <v>22</v>
      </c>
      <c r="N5" s="7" t="s">
        <v>23</v>
      </c>
      <c r="O5" s="318"/>
      <c r="P5" s="318"/>
      <c r="R5" s="380"/>
      <c r="U5" s="279"/>
      <c r="W5" s="382"/>
      <c r="X5" s="389"/>
    </row>
    <row r="6" spans="1:24" s="269" customFormat="1" ht="51" customHeight="1" thickBot="1" x14ac:dyDescent="0.25">
      <c r="A6" s="267"/>
      <c r="B6" s="267"/>
      <c r="C6" s="267"/>
      <c r="D6" s="267"/>
      <c r="E6" s="267"/>
      <c r="F6" s="267"/>
      <c r="G6" s="267"/>
      <c r="H6" s="267"/>
      <c r="I6" s="267"/>
      <c r="J6" s="267"/>
      <c r="K6" s="267"/>
      <c r="L6" s="268"/>
      <c r="M6" s="267"/>
      <c r="N6" s="267"/>
      <c r="O6" s="267"/>
      <c r="P6" s="267"/>
      <c r="R6" s="270"/>
      <c r="U6" s="280"/>
      <c r="W6" s="294"/>
    </row>
    <row r="7" spans="1:24" ht="50.45" customHeight="1" thickBot="1" x14ac:dyDescent="0.25">
      <c r="A7" s="383" t="s">
        <v>1</v>
      </c>
      <c r="B7" s="383"/>
      <c r="C7" s="383"/>
      <c r="D7" s="383"/>
      <c r="E7" s="383"/>
      <c r="F7" s="383"/>
      <c r="G7" s="383"/>
      <c r="H7" s="383"/>
      <c r="I7" s="383"/>
      <c r="J7" s="383"/>
      <c r="K7" s="383"/>
      <c r="L7" s="383"/>
      <c r="M7" s="383"/>
      <c r="N7" s="383"/>
      <c r="O7" s="383"/>
      <c r="P7" s="383"/>
    </row>
    <row r="8" spans="1:24" ht="24" customHeight="1" thickBot="1" x14ac:dyDescent="0.25">
      <c r="A8" s="324" t="s">
        <v>2</v>
      </c>
      <c r="B8" s="325"/>
      <c r="C8" s="325"/>
      <c r="D8" s="325"/>
      <c r="E8" s="325"/>
      <c r="F8" s="325"/>
      <c r="G8" s="325"/>
      <c r="H8" s="325"/>
      <c r="I8" s="325"/>
      <c r="J8" s="326"/>
      <c r="K8" s="384" t="s">
        <v>3</v>
      </c>
      <c r="L8" s="385"/>
      <c r="M8" s="385"/>
      <c r="N8" s="385"/>
      <c r="O8" s="385"/>
      <c r="P8" s="385"/>
      <c r="R8" s="266" t="s">
        <v>654</v>
      </c>
      <c r="U8" s="278"/>
      <c r="W8" s="382" t="s">
        <v>679</v>
      </c>
      <c r="X8" s="386" t="s">
        <v>748</v>
      </c>
    </row>
    <row r="9" spans="1:24" ht="41.25" customHeight="1" thickBot="1" x14ac:dyDescent="0.25">
      <c r="A9" s="374" t="s">
        <v>4</v>
      </c>
      <c r="B9" s="2" t="s">
        <v>5</v>
      </c>
      <c r="C9" s="375" t="s">
        <v>6</v>
      </c>
      <c r="D9" s="376"/>
      <c r="E9" s="375" t="s">
        <v>6</v>
      </c>
      <c r="F9" s="376"/>
      <c r="G9" s="375" t="s">
        <v>6</v>
      </c>
      <c r="H9" s="376"/>
      <c r="I9" s="375" t="s">
        <v>6</v>
      </c>
      <c r="J9" s="378"/>
      <c r="K9" s="314" t="s">
        <v>7</v>
      </c>
      <c r="L9" s="322"/>
      <c r="M9" s="314" t="s">
        <v>8</v>
      </c>
      <c r="N9" s="315"/>
      <c r="O9" s="316" t="s">
        <v>9</v>
      </c>
      <c r="P9" s="329" t="s">
        <v>10</v>
      </c>
      <c r="R9" s="379" t="s">
        <v>607</v>
      </c>
      <c r="U9" s="279"/>
      <c r="W9" s="382"/>
      <c r="X9" s="386"/>
    </row>
    <row r="10" spans="1:24" ht="41.25" customHeight="1" thickBot="1" x14ac:dyDescent="0.25">
      <c r="A10" s="371"/>
      <c r="B10" s="371" t="s">
        <v>11</v>
      </c>
      <c r="C10" s="319" t="s">
        <v>12</v>
      </c>
      <c r="D10" s="320"/>
      <c r="E10" s="319" t="s">
        <v>13</v>
      </c>
      <c r="F10" s="320"/>
      <c r="G10" s="319" t="s">
        <v>14</v>
      </c>
      <c r="H10" s="320"/>
      <c r="I10" s="319" t="s">
        <v>15</v>
      </c>
      <c r="J10" s="321"/>
      <c r="K10" s="314" t="s">
        <v>16</v>
      </c>
      <c r="L10" s="322"/>
      <c r="M10" s="314" t="s">
        <v>17</v>
      </c>
      <c r="N10" s="322"/>
      <c r="O10" s="317"/>
      <c r="P10" s="330"/>
      <c r="R10" s="379"/>
      <c r="U10" s="279"/>
      <c r="W10" s="382"/>
      <c r="X10" s="386"/>
    </row>
    <row r="11" spans="1:24" ht="58.5" customHeight="1" thickBot="1" x14ac:dyDescent="0.25">
      <c r="A11" s="372"/>
      <c r="B11" s="372"/>
      <c r="C11" s="3" t="s">
        <v>18</v>
      </c>
      <c r="D11" s="3" t="s">
        <v>19</v>
      </c>
      <c r="E11" s="3" t="s">
        <v>18</v>
      </c>
      <c r="F11" s="3" t="s">
        <v>19</v>
      </c>
      <c r="G11" s="3" t="s">
        <v>18</v>
      </c>
      <c r="H11" s="3" t="s">
        <v>19</v>
      </c>
      <c r="I11" s="3" t="s">
        <v>18</v>
      </c>
      <c r="J11" s="4" t="s">
        <v>19</v>
      </c>
      <c r="K11" s="5" t="s">
        <v>20</v>
      </c>
      <c r="L11" s="248" t="s">
        <v>21</v>
      </c>
      <c r="M11" s="6" t="s">
        <v>22</v>
      </c>
      <c r="N11" s="7" t="s">
        <v>23</v>
      </c>
      <c r="O11" s="318"/>
      <c r="P11" s="318"/>
      <c r="R11" s="380"/>
      <c r="U11" s="279"/>
      <c r="W11" s="382"/>
      <c r="X11" s="386"/>
    </row>
    <row r="12" spans="1:24" ht="77.099999999999994" customHeight="1" thickBot="1" x14ac:dyDescent="0.25">
      <c r="A12" s="8" t="s">
        <v>24</v>
      </c>
      <c r="B12" s="9" t="s">
        <v>25</v>
      </c>
      <c r="C12" s="10">
        <v>43465</v>
      </c>
      <c r="D12" s="10">
        <v>40097</v>
      </c>
      <c r="E12" s="10">
        <v>42955</v>
      </c>
      <c r="F12" s="10">
        <v>42119</v>
      </c>
      <c r="G12" s="10">
        <v>44042</v>
      </c>
      <c r="H12" s="11" t="s">
        <v>26</v>
      </c>
      <c r="I12" s="10">
        <v>46000</v>
      </c>
      <c r="J12" s="12">
        <v>44472</v>
      </c>
      <c r="K12" s="13">
        <f>J12-46000</f>
        <v>-1528</v>
      </c>
      <c r="L12" s="14">
        <f>K12/46000</f>
        <v>-3.3217391304347824E-2</v>
      </c>
      <c r="M12" s="15" t="s">
        <v>27</v>
      </c>
      <c r="N12" s="16">
        <f>J12/I12-1</f>
        <v>-3.3217391304347865E-2</v>
      </c>
      <c r="O12" s="289"/>
      <c r="P12" s="276" t="s">
        <v>28</v>
      </c>
      <c r="R12" s="228"/>
      <c r="W12" s="294" t="s">
        <v>657</v>
      </c>
      <c r="X12" s="309" t="s">
        <v>786</v>
      </c>
    </row>
    <row r="13" spans="1:24" ht="50.45" customHeight="1" thickBot="1" x14ac:dyDescent="0.25">
      <c r="A13" s="8" t="s">
        <v>29</v>
      </c>
      <c r="B13" s="17" t="s">
        <v>30</v>
      </c>
      <c r="C13" s="10">
        <v>5495</v>
      </c>
      <c r="D13" s="10">
        <v>4406</v>
      </c>
      <c r="E13" s="10">
        <v>5331</v>
      </c>
      <c r="F13" s="10">
        <v>4886</v>
      </c>
      <c r="G13" s="10">
        <v>5500</v>
      </c>
      <c r="H13" s="10">
        <v>5517</v>
      </c>
      <c r="I13" s="10">
        <v>6500</v>
      </c>
      <c r="J13" s="12">
        <v>5487</v>
      </c>
      <c r="K13" s="18">
        <f>J13-6500</f>
        <v>-1013</v>
      </c>
      <c r="L13" s="39">
        <f>K13/6500</f>
        <v>-0.15584615384615386</v>
      </c>
      <c r="M13" s="20" t="s">
        <v>31</v>
      </c>
      <c r="N13" s="16">
        <f>J13/I13-1</f>
        <v>-0.15584615384615386</v>
      </c>
      <c r="O13" s="290"/>
      <c r="P13" s="276" t="s">
        <v>28</v>
      </c>
      <c r="R13" s="228"/>
      <c r="W13" s="294" t="s">
        <v>658</v>
      </c>
      <c r="X13" s="309" t="s">
        <v>786</v>
      </c>
    </row>
    <row r="14" spans="1:24" ht="50.45" customHeight="1" thickBot="1" x14ac:dyDescent="0.25">
      <c r="A14" s="8" t="s">
        <v>32</v>
      </c>
      <c r="B14" s="17" t="s">
        <v>33</v>
      </c>
      <c r="C14" s="10">
        <v>26205</v>
      </c>
      <c r="D14" s="10">
        <v>24383</v>
      </c>
      <c r="E14" s="10">
        <v>26567</v>
      </c>
      <c r="F14" s="10">
        <v>25890</v>
      </c>
      <c r="G14" s="10">
        <v>27000</v>
      </c>
      <c r="H14" s="10">
        <v>26712</v>
      </c>
      <c r="I14" s="10">
        <v>27500</v>
      </c>
      <c r="J14" s="12">
        <v>27596</v>
      </c>
      <c r="K14" s="18">
        <f>J14-29000</f>
        <v>-1404</v>
      </c>
      <c r="L14" s="39">
        <f>K14/29000</f>
        <v>-4.8413793103448274E-2</v>
      </c>
      <c r="M14" s="21" t="s">
        <v>27</v>
      </c>
      <c r="N14" s="22">
        <f>J14/I14-1</f>
        <v>3.490909090908989E-3</v>
      </c>
      <c r="O14" s="290"/>
      <c r="P14" s="276" t="s">
        <v>28</v>
      </c>
      <c r="R14" s="228"/>
      <c r="W14" s="294" t="s">
        <v>659</v>
      </c>
      <c r="X14" s="309" t="s">
        <v>786</v>
      </c>
    </row>
    <row r="15" spans="1:24" ht="50.45" customHeight="1" thickBot="1" x14ac:dyDescent="0.25">
      <c r="A15" s="8" t="s">
        <v>34</v>
      </c>
      <c r="B15" s="17" t="s">
        <v>35</v>
      </c>
      <c r="C15" s="23">
        <v>0</v>
      </c>
      <c r="D15" s="23">
        <v>8</v>
      </c>
      <c r="E15" s="23">
        <v>214</v>
      </c>
      <c r="F15" s="23">
        <v>75</v>
      </c>
      <c r="G15" s="24">
        <v>120</v>
      </c>
      <c r="H15" s="23">
        <v>90</v>
      </c>
      <c r="I15" s="23">
        <v>120</v>
      </c>
      <c r="J15" s="25" t="s">
        <v>36</v>
      </c>
      <c r="K15" s="18">
        <f>267-684</f>
        <v>-417</v>
      </c>
      <c r="L15" s="39">
        <f>267/684-1</f>
        <v>-0.60964912280701755</v>
      </c>
      <c r="M15" s="21" t="s">
        <v>27</v>
      </c>
      <c r="N15" s="16">
        <f>94/I15-1</f>
        <v>-0.21666666666666667</v>
      </c>
      <c r="O15" s="27"/>
      <c r="P15" s="276" t="s">
        <v>38</v>
      </c>
      <c r="R15" s="220" t="s">
        <v>608</v>
      </c>
      <c r="W15" s="294" t="s">
        <v>660</v>
      </c>
      <c r="X15" s="310" t="s">
        <v>782</v>
      </c>
    </row>
    <row r="16" spans="1:24" ht="50.45" customHeight="1" thickBot="1" x14ac:dyDescent="0.25">
      <c r="A16" s="8" t="s">
        <v>39</v>
      </c>
      <c r="B16" s="9" t="s">
        <v>40</v>
      </c>
      <c r="C16" s="23">
        <v>421</v>
      </c>
      <c r="D16" s="23">
        <v>249</v>
      </c>
      <c r="E16" s="23">
        <v>300</v>
      </c>
      <c r="F16" s="23">
        <v>248</v>
      </c>
      <c r="G16" s="23">
        <v>484</v>
      </c>
      <c r="H16" s="23">
        <v>258</v>
      </c>
      <c r="I16" s="23">
        <v>345</v>
      </c>
      <c r="J16" s="28">
        <v>288</v>
      </c>
      <c r="K16" s="18">
        <f>288-345</f>
        <v>-57</v>
      </c>
      <c r="L16" s="39">
        <f>288/345-1</f>
        <v>-0.16521739130434787</v>
      </c>
      <c r="M16" s="21" t="s">
        <v>27</v>
      </c>
      <c r="N16" s="16">
        <f>J16/I16-1</f>
        <v>-0.16521739130434787</v>
      </c>
      <c r="O16" s="27"/>
      <c r="P16" s="276" t="s">
        <v>28</v>
      </c>
      <c r="R16" s="220" t="s">
        <v>609</v>
      </c>
      <c r="W16" s="294" t="s">
        <v>661</v>
      </c>
      <c r="X16" s="309" t="s">
        <v>786</v>
      </c>
    </row>
    <row r="17" spans="1:24" ht="144" customHeight="1" thickBot="1" x14ac:dyDescent="0.25">
      <c r="A17" s="8" t="s">
        <v>41</v>
      </c>
      <c r="B17" s="17" t="s">
        <v>42</v>
      </c>
      <c r="C17" s="10">
        <v>18247</v>
      </c>
      <c r="D17" s="10">
        <v>18240</v>
      </c>
      <c r="E17" s="10">
        <v>18247</v>
      </c>
      <c r="F17" s="10">
        <v>18240</v>
      </c>
      <c r="G17" s="10">
        <v>18240</v>
      </c>
      <c r="H17" s="11" t="s">
        <v>43</v>
      </c>
      <c r="I17" s="10">
        <v>18240</v>
      </c>
      <c r="J17" s="12">
        <v>14490</v>
      </c>
      <c r="K17" s="18">
        <f>J17-20335</f>
        <v>-5845</v>
      </c>
      <c r="L17" s="39">
        <f>K17/20335</f>
        <v>-0.28743545611015492</v>
      </c>
      <c r="M17" s="20" t="s">
        <v>31</v>
      </c>
      <c r="N17" s="16">
        <f>J17/I17-1</f>
        <v>-0.20559210526315785</v>
      </c>
      <c r="O17" s="290"/>
      <c r="P17" s="276" t="s">
        <v>44</v>
      </c>
      <c r="R17" s="228"/>
      <c r="W17" s="294" t="s">
        <v>663</v>
      </c>
      <c r="X17" s="309" t="s">
        <v>786</v>
      </c>
    </row>
    <row r="18" spans="1:24" ht="50.45" customHeight="1" thickBot="1" x14ac:dyDescent="0.25">
      <c r="A18" s="8" t="s">
        <v>45</v>
      </c>
      <c r="B18" s="17" t="s">
        <v>46</v>
      </c>
      <c r="C18" s="10">
        <v>35000</v>
      </c>
      <c r="D18" s="10">
        <v>30523</v>
      </c>
      <c r="E18" s="10">
        <v>38865</v>
      </c>
      <c r="F18" s="10">
        <v>30523</v>
      </c>
      <c r="G18" s="10">
        <v>40000</v>
      </c>
      <c r="H18" s="11" t="s">
        <v>47</v>
      </c>
      <c r="I18" s="10">
        <v>40000</v>
      </c>
      <c r="J18" s="12">
        <v>38865</v>
      </c>
      <c r="K18" s="18">
        <f>J18-40000</f>
        <v>-1135</v>
      </c>
      <c r="L18" s="39">
        <f>K18/40000</f>
        <v>-2.8375000000000001E-2</v>
      </c>
      <c r="M18" s="21" t="s">
        <v>27</v>
      </c>
      <c r="N18" s="16">
        <f>J18/I18-1</f>
        <v>-2.8375000000000039E-2</v>
      </c>
      <c r="O18" s="290"/>
      <c r="P18" s="276" t="s">
        <v>28</v>
      </c>
      <c r="R18" s="228"/>
      <c r="W18" s="294" t="s">
        <v>662</v>
      </c>
      <c r="X18" s="309" t="s">
        <v>786</v>
      </c>
    </row>
    <row r="19" spans="1:24" ht="50.45" customHeight="1" thickBot="1" x14ac:dyDescent="0.25">
      <c r="A19" s="8" t="s">
        <v>48</v>
      </c>
      <c r="B19" s="17" t="s">
        <v>49</v>
      </c>
      <c r="C19" s="29">
        <v>0.73</v>
      </c>
      <c r="D19" s="30">
        <v>0.73</v>
      </c>
      <c r="E19" s="29">
        <v>0.73</v>
      </c>
      <c r="F19" s="30">
        <v>0.77470000000000006</v>
      </c>
      <c r="G19" s="29">
        <v>0.73</v>
      </c>
      <c r="H19" s="30">
        <v>0.77200000000000002</v>
      </c>
      <c r="I19" s="11" t="s">
        <v>50</v>
      </c>
      <c r="J19" s="31">
        <v>0.76090000000000002</v>
      </c>
      <c r="K19" s="32" t="s">
        <v>51</v>
      </c>
      <c r="L19" s="57">
        <f>3/73</f>
        <v>4.1095890410958902E-2</v>
      </c>
      <c r="M19" s="20" t="s">
        <v>31</v>
      </c>
      <c r="N19" s="34" t="s">
        <v>52</v>
      </c>
      <c r="O19" s="290"/>
      <c r="P19" s="276" t="s">
        <v>53</v>
      </c>
      <c r="R19" s="228"/>
      <c r="W19" s="294" t="s">
        <v>664</v>
      </c>
      <c r="X19" s="309" t="s">
        <v>786</v>
      </c>
    </row>
    <row r="20" spans="1:24" ht="50.45" customHeight="1" thickBot="1" x14ac:dyDescent="0.25">
      <c r="A20" s="8" t="s">
        <v>54</v>
      </c>
      <c r="B20" s="17" t="s">
        <v>55</v>
      </c>
      <c r="C20" s="10">
        <v>18912000</v>
      </c>
      <c r="D20" s="23">
        <v>0</v>
      </c>
      <c r="E20" s="10">
        <v>19505000</v>
      </c>
      <c r="F20" s="10">
        <v>20521830</v>
      </c>
      <c r="G20" s="10">
        <v>20521830</v>
      </c>
      <c r="H20" s="10">
        <v>20521830</v>
      </c>
      <c r="I20" s="10">
        <v>20700000</v>
      </c>
      <c r="J20" s="12">
        <v>22425160</v>
      </c>
      <c r="K20" s="35">
        <f>J20-20700000</f>
        <v>1725160</v>
      </c>
      <c r="L20" s="57">
        <f>K20/I20</f>
        <v>8.3341062801932361E-2</v>
      </c>
      <c r="M20" s="21" t="s">
        <v>27</v>
      </c>
      <c r="N20" s="22">
        <f>J20/I20-1</f>
        <v>8.3341062801932431E-2</v>
      </c>
      <c r="O20" s="290"/>
      <c r="P20" s="276" t="s">
        <v>28</v>
      </c>
      <c r="R20" s="228"/>
      <c r="X20" s="305"/>
    </row>
    <row r="21" spans="1:24" ht="50.45" customHeight="1" thickBot="1" x14ac:dyDescent="0.25">
      <c r="A21" s="8" t="s">
        <v>56</v>
      </c>
      <c r="B21" s="9" t="s">
        <v>57</v>
      </c>
      <c r="C21" s="10">
        <v>1369</v>
      </c>
      <c r="D21" s="10">
        <v>2038</v>
      </c>
      <c r="E21" s="10">
        <v>1628</v>
      </c>
      <c r="F21" s="23">
        <v>976</v>
      </c>
      <c r="G21" s="10">
        <v>1221</v>
      </c>
      <c r="H21" s="10">
        <v>1026</v>
      </c>
      <c r="I21" s="10">
        <v>1107</v>
      </c>
      <c r="J21" s="25" t="s">
        <v>58</v>
      </c>
      <c r="K21" s="18">
        <f>(D21+F21+H21+1424)-5994</f>
        <v>-530</v>
      </c>
      <c r="L21" s="39">
        <f>(D21+F21+H21+1424)/5994-1</f>
        <v>-8.8421755088421761E-2</v>
      </c>
      <c r="M21" s="21" t="s">
        <v>27</v>
      </c>
      <c r="N21" s="22">
        <f>1424/1107-1</f>
        <v>0.28635953026196925</v>
      </c>
      <c r="O21" s="27"/>
      <c r="P21" s="276" t="s">
        <v>38</v>
      </c>
      <c r="R21" s="219" t="s">
        <v>610</v>
      </c>
      <c r="W21" s="294" t="s">
        <v>665</v>
      </c>
      <c r="X21" s="310" t="s">
        <v>768</v>
      </c>
    </row>
    <row r="22" spans="1:24" ht="50.45" customHeight="1" thickBot="1" x14ac:dyDescent="0.25">
      <c r="A22" s="8" t="s">
        <v>59</v>
      </c>
      <c r="B22" s="17" t="s">
        <v>60</v>
      </c>
      <c r="C22" s="23" t="s">
        <v>61</v>
      </c>
      <c r="D22" s="23" t="s">
        <v>62</v>
      </c>
      <c r="E22" s="23" t="s">
        <v>63</v>
      </c>
      <c r="F22" s="23" t="s">
        <v>64</v>
      </c>
      <c r="G22" s="23" t="s">
        <v>65</v>
      </c>
      <c r="H22" s="23" t="s">
        <v>66</v>
      </c>
      <c r="I22" s="23" t="s">
        <v>67</v>
      </c>
      <c r="J22" s="25" t="s">
        <v>68</v>
      </c>
      <c r="K22" s="35" t="s">
        <v>69</v>
      </c>
      <c r="L22" s="249" t="s">
        <v>69</v>
      </c>
      <c r="M22" s="21" t="s">
        <v>27</v>
      </c>
      <c r="N22" s="21" t="s">
        <v>69</v>
      </c>
      <c r="O22" s="290"/>
      <c r="P22" s="276" t="s">
        <v>70</v>
      </c>
      <c r="R22" s="228"/>
      <c r="X22" s="305"/>
    </row>
    <row r="23" spans="1:24" ht="50.45" customHeight="1" thickBot="1" x14ac:dyDescent="0.25">
      <c r="A23" s="8" t="s">
        <v>71</v>
      </c>
      <c r="B23" s="17" t="s">
        <v>72</v>
      </c>
      <c r="C23" s="23" t="s">
        <v>73</v>
      </c>
      <c r="D23" s="23" t="s">
        <v>74</v>
      </c>
      <c r="E23" s="23" t="s">
        <v>75</v>
      </c>
      <c r="F23" s="23" t="s">
        <v>76</v>
      </c>
      <c r="G23" s="23" t="s">
        <v>77</v>
      </c>
      <c r="H23" s="23" t="s">
        <v>78</v>
      </c>
      <c r="I23" s="23" t="s">
        <v>79</v>
      </c>
      <c r="J23" s="36" t="s">
        <v>80</v>
      </c>
      <c r="K23" s="37">
        <f>18.06-16.25</f>
        <v>1.8099999999999987</v>
      </c>
      <c r="L23" s="57">
        <f>18.06/16.25-1</f>
        <v>0.11138461538461542</v>
      </c>
      <c r="M23" s="21" t="s">
        <v>27</v>
      </c>
      <c r="N23" s="33">
        <f>18.06/16.25-1</f>
        <v>0.11138461538461542</v>
      </c>
      <c r="O23" s="290"/>
      <c r="P23" s="276" t="s">
        <v>70</v>
      </c>
      <c r="R23" s="228"/>
      <c r="X23" s="305"/>
    </row>
    <row r="24" spans="1:24" ht="70.5" customHeight="1" thickBot="1" x14ac:dyDescent="0.25">
      <c r="A24" s="8" t="s">
        <v>81</v>
      </c>
      <c r="B24" s="17" t="s">
        <v>82</v>
      </c>
      <c r="C24" s="29">
        <v>1</v>
      </c>
      <c r="D24" s="30">
        <v>0.86399999999999999</v>
      </c>
      <c r="E24" s="29">
        <v>1</v>
      </c>
      <c r="F24" s="29">
        <v>0.91</v>
      </c>
      <c r="G24" s="29">
        <v>1</v>
      </c>
      <c r="H24" s="30">
        <v>0.84899999999999998</v>
      </c>
      <c r="I24" s="29">
        <v>1</v>
      </c>
      <c r="J24" s="31">
        <v>0.90269999999999995</v>
      </c>
      <c r="K24" s="38" t="s">
        <v>83</v>
      </c>
      <c r="L24" s="39">
        <f>0.9027/1-1</f>
        <v>-9.7300000000000053E-2</v>
      </c>
      <c r="M24" s="21" t="s">
        <v>27</v>
      </c>
      <c r="N24" s="16">
        <f>J24/I24-1</f>
        <v>-9.7300000000000053E-2</v>
      </c>
      <c r="O24" s="290"/>
      <c r="P24" s="276">
        <v>6516</v>
      </c>
      <c r="R24" s="228"/>
      <c r="W24" s="294" t="s">
        <v>666</v>
      </c>
      <c r="X24" s="312" t="s">
        <v>792</v>
      </c>
    </row>
    <row r="25" spans="1:24" ht="50.45" customHeight="1" thickBot="1" x14ac:dyDescent="0.25">
      <c r="A25" s="8" t="s">
        <v>84</v>
      </c>
      <c r="B25" s="9" t="s">
        <v>85</v>
      </c>
      <c r="C25" s="23">
        <v>40</v>
      </c>
      <c r="D25" s="23">
        <v>4</v>
      </c>
      <c r="E25" s="23">
        <v>35</v>
      </c>
      <c r="F25" s="23">
        <v>4</v>
      </c>
      <c r="G25" s="23">
        <v>36</v>
      </c>
      <c r="H25" s="11" t="s">
        <v>86</v>
      </c>
      <c r="I25" s="23">
        <v>37</v>
      </c>
      <c r="J25" s="25" t="s">
        <v>87</v>
      </c>
      <c r="K25" s="18">
        <f>(D25+F25+0+2)-150</f>
        <v>-140</v>
      </c>
      <c r="L25" s="39">
        <f>K25/150</f>
        <v>-0.93333333333333335</v>
      </c>
      <c r="M25" s="21" t="s">
        <v>27</v>
      </c>
      <c r="N25" s="16">
        <f>2/37-1</f>
        <v>-0.94594594594594594</v>
      </c>
      <c r="O25" s="290"/>
      <c r="P25" s="276">
        <v>8585</v>
      </c>
      <c r="R25" s="228"/>
      <c r="W25" s="294" t="s">
        <v>667</v>
      </c>
      <c r="X25" s="310" t="s">
        <v>770</v>
      </c>
    </row>
    <row r="26" spans="1:24" ht="92.45" customHeight="1" thickBot="1" x14ac:dyDescent="0.25">
      <c r="A26" s="8" t="s">
        <v>88</v>
      </c>
      <c r="B26" s="17" t="s">
        <v>89</v>
      </c>
      <c r="C26" s="10">
        <v>12000</v>
      </c>
      <c r="D26" s="23" t="s">
        <v>90</v>
      </c>
      <c r="E26" s="10">
        <v>18500</v>
      </c>
      <c r="F26" s="23" t="s">
        <v>90</v>
      </c>
      <c r="G26" s="10">
        <v>12000</v>
      </c>
      <c r="H26" s="23">
        <v>0</v>
      </c>
      <c r="I26" s="10">
        <v>5000</v>
      </c>
      <c r="J26" s="25" t="s">
        <v>91</v>
      </c>
      <c r="K26" s="18">
        <f>0-19000</f>
        <v>-19000</v>
      </c>
      <c r="L26" s="39">
        <f>K26/19000</f>
        <v>-1</v>
      </c>
      <c r="M26" s="20" t="s">
        <v>92</v>
      </c>
      <c r="N26" s="19">
        <f>0/5000-1</f>
        <v>-1</v>
      </c>
      <c r="O26" s="290"/>
      <c r="P26" s="276" t="s">
        <v>93</v>
      </c>
      <c r="R26" s="228"/>
      <c r="W26" s="294" t="s">
        <v>668</v>
      </c>
      <c r="X26" s="309" t="s">
        <v>786</v>
      </c>
    </row>
    <row r="27" spans="1:24" ht="67.5" customHeight="1" thickBot="1" x14ac:dyDescent="0.25">
      <c r="A27" s="8" t="s">
        <v>94</v>
      </c>
      <c r="B27" s="17" t="s">
        <v>95</v>
      </c>
      <c r="C27" s="10">
        <v>9500</v>
      </c>
      <c r="D27" s="10">
        <v>13375</v>
      </c>
      <c r="E27" s="10">
        <v>11000</v>
      </c>
      <c r="F27" s="10">
        <v>18510</v>
      </c>
      <c r="G27" s="10">
        <v>17500</v>
      </c>
      <c r="H27" s="10">
        <v>21141</v>
      </c>
      <c r="I27" s="10">
        <v>19000</v>
      </c>
      <c r="J27" s="12">
        <v>23814</v>
      </c>
      <c r="K27" s="35">
        <f>J27-14000</f>
        <v>9814</v>
      </c>
      <c r="L27" s="57">
        <f>K27/14000</f>
        <v>0.70099999999999996</v>
      </c>
      <c r="M27" s="21" t="s">
        <v>27</v>
      </c>
      <c r="N27" s="22">
        <f>J27/I27-1</f>
        <v>0.25336842105263169</v>
      </c>
      <c r="O27" s="290"/>
      <c r="P27" s="40" t="s">
        <v>96</v>
      </c>
      <c r="R27" s="228"/>
      <c r="X27" s="305"/>
    </row>
    <row r="28" spans="1:24" ht="95.1" customHeight="1" thickBot="1" x14ac:dyDescent="0.25">
      <c r="A28" s="8" t="s">
        <v>97</v>
      </c>
      <c r="B28" s="17" t="s">
        <v>98</v>
      </c>
      <c r="C28" s="23" t="s">
        <v>53</v>
      </c>
      <c r="D28" s="23" t="s">
        <v>53</v>
      </c>
      <c r="E28" s="23">
        <v>17</v>
      </c>
      <c r="F28" s="23">
        <v>0</v>
      </c>
      <c r="G28" s="23">
        <v>17</v>
      </c>
      <c r="H28" s="23">
        <v>0</v>
      </c>
      <c r="I28" s="23">
        <v>0</v>
      </c>
      <c r="J28" s="25" t="s">
        <v>99</v>
      </c>
      <c r="K28" s="26" t="s">
        <v>37</v>
      </c>
      <c r="L28" s="250" t="s">
        <v>37</v>
      </c>
      <c r="M28" s="20" t="s">
        <v>92</v>
      </c>
      <c r="N28" s="20"/>
      <c r="O28" s="27"/>
      <c r="P28" s="275" t="s">
        <v>100</v>
      </c>
      <c r="R28" s="220" t="s">
        <v>611</v>
      </c>
      <c r="W28" s="294" t="s">
        <v>734</v>
      </c>
      <c r="X28" s="309" t="s">
        <v>786</v>
      </c>
    </row>
    <row r="29" spans="1:24" ht="50.45" customHeight="1" thickBot="1" x14ac:dyDescent="0.25">
      <c r="A29" s="8" t="s">
        <v>101</v>
      </c>
      <c r="B29" s="9" t="s">
        <v>102</v>
      </c>
      <c r="C29" s="10">
        <v>3470</v>
      </c>
      <c r="D29" s="10">
        <v>4596</v>
      </c>
      <c r="E29" s="10">
        <v>3470</v>
      </c>
      <c r="F29" s="10">
        <v>1188</v>
      </c>
      <c r="G29" s="10">
        <v>1925</v>
      </c>
      <c r="H29" s="10">
        <v>1226</v>
      </c>
      <c r="I29" s="10">
        <v>1135</v>
      </c>
      <c r="J29" s="25" t="s">
        <v>103</v>
      </c>
      <c r="K29" s="18">
        <f>(D29+F29+H29+1486)-11000</f>
        <v>-2504</v>
      </c>
      <c r="L29" s="39">
        <f>K29/11000</f>
        <v>-0.22763636363636364</v>
      </c>
      <c r="M29" s="21" t="s">
        <v>27</v>
      </c>
      <c r="N29" s="42">
        <f>1486/1135-1</f>
        <v>0.30925110132158595</v>
      </c>
      <c r="O29" s="291"/>
      <c r="P29" s="44" t="s">
        <v>104</v>
      </c>
      <c r="R29" s="228"/>
      <c r="X29" s="305"/>
    </row>
    <row r="30" spans="1:24" ht="50.45" customHeight="1" thickBot="1" x14ac:dyDescent="0.25">
      <c r="A30" s="8" t="s">
        <v>105</v>
      </c>
      <c r="B30" s="17" t="s">
        <v>106</v>
      </c>
      <c r="C30" s="23">
        <v>100</v>
      </c>
      <c r="D30" s="11" t="s">
        <v>107</v>
      </c>
      <c r="E30" s="23">
        <v>100</v>
      </c>
      <c r="F30" s="23">
        <v>48</v>
      </c>
      <c r="G30" s="23">
        <v>100</v>
      </c>
      <c r="H30" s="23">
        <v>19</v>
      </c>
      <c r="I30" s="23">
        <v>50</v>
      </c>
      <c r="J30" s="28">
        <v>36</v>
      </c>
      <c r="K30" s="18">
        <f>141-430</f>
        <v>-289</v>
      </c>
      <c r="L30" s="39">
        <f>K30/430</f>
        <v>-0.67209302325581399</v>
      </c>
      <c r="M30" s="21" t="s">
        <v>27</v>
      </c>
      <c r="N30" s="16">
        <f>J30/I30-1</f>
        <v>-0.28000000000000003</v>
      </c>
      <c r="O30" s="290"/>
      <c r="P30" s="276" t="s">
        <v>108</v>
      </c>
      <c r="R30" s="228"/>
      <c r="W30" s="294" t="s">
        <v>669</v>
      </c>
      <c r="X30" s="309" t="s">
        <v>786</v>
      </c>
    </row>
    <row r="31" spans="1:24" ht="50.45" customHeight="1" thickBot="1" x14ac:dyDescent="0.25">
      <c r="A31" s="8" t="s">
        <v>109</v>
      </c>
      <c r="B31" s="17" t="s">
        <v>110</v>
      </c>
      <c r="C31" s="23">
        <v>183</v>
      </c>
      <c r="D31" s="11" t="s">
        <v>111</v>
      </c>
      <c r="E31" s="23">
        <v>200</v>
      </c>
      <c r="F31" s="23">
        <v>4</v>
      </c>
      <c r="G31" s="23">
        <v>266</v>
      </c>
      <c r="H31" s="23">
        <v>126</v>
      </c>
      <c r="I31" s="23">
        <v>196</v>
      </c>
      <c r="J31" s="28">
        <v>735</v>
      </c>
      <c r="K31" s="35">
        <f>J31-650</f>
        <v>85</v>
      </c>
      <c r="L31" s="57">
        <f>K31/650</f>
        <v>0.13076923076923078</v>
      </c>
      <c r="M31" s="21" t="s">
        <v>27</v>
      </c>
      <c r="N31" s="42">
        <f>735/196-1</f>
        <v>2.75</v>
      </c>
      <c r="O31" s="27"/>
      <c r="P31" s="276" t="s">
        <v>108</v>
      </c>
      <c r="R31" s="220" t="s">
        <v>612</v>
      </c>
      <c r="X31" s="305"/>
    </row>
    <row r="32" spans="1:24" ht="27.95" customHeight="1" x14ac:dyDescent="0.2"/>
    <row r="33" spans="1:16" ht="27.95" customHeight="1" x14ac:dyDescent="0.2">
      <c r="A33" s="46" t="s">
        <v>112</v>
      </c>
    </row>
    <row r="34" spans="1:16" ht="27.95" customHeight="1" x14ac:dyDescent="0.2">
      <c r="A34" s="46" t="s">
        <v>113</v>
      </c>
    </row>
    <row r="35" spans="1:16" ht="27.95" customHeight="1" x14ac:dyDescent="0.2">
      <c r="A35" s="46" t="s">
        <v>114</v>
      </c>
    </row>
    <row r="36" spans="1:16" ht="27.95" customHeight="1" x14ac:dyDescent="0.2">
      <c r="A36" s="373" t="s">
        <v>115</v>
      </c>
      <c r="B36" s="373"/>
      <c r="C36" s="373"/>
      <c r="D36" s="373"/>
      <c r="E36" s="373"/>
      <c r="F36" s="373"/>
      <c r="G36" s="373"/>
      <c r="H36" s="373"/>
      <c r="I36" s="373"/>
      <c r="J36" s="373"/>
      <c r="K36" s="373"/>
      <c r="L36" s="373"/>
      <c r="M36" s="373"/>
      <c r="N36" s="373"/>
      <c r="O36" s="373"/>
    </row>
    <row r="37" spans="1:16" ht="27.95" customHeight="1" x14ac:dyDescent="0.2">
      <c r="A37" s="373" t="s">
        <v>116</v>
      </c>
      <c r="B37" s="373"/>
      <c r="C37" s="373"/>
      <c r="D37" s="373"/>
      <c r="E37" s="373"/>
      <c r="F37" s="373"/>
      <c r="G37" s="373"/>
      <c r="H37" s="373"/>
      <c r="I37" s="373"/>
      <c r="J37" s="373"/>
      <c r="K37" s="373"/>
      <c r="L37" s="373"/>
      <c r="M37" s="373"/>
      <c r="N37" s="373"/>
      <c r="O37" s="373"/>
    </row>
    <row r="38" spans="1:16" ht="27.95" customHeight="1" x14ac:dyDescent="0.2">
      <c r="A38" s="377" t="s">
        <v>117</v>
      </c>
      <c r="B38" s="377"/>
      <c r="C38" s="377"/>
      <c r="D38" s="377"/>
      <c r="E38" s="377"/>
      <c r="F38" s="377"/>
      <c r="G38" s="377"/>
      <c r="H38" s="377"/>
      <c r="I38" s="377"/>
      <c r="J38" s="377"/>
      <c r="K38" s="377"/>
      <c r="L38" s="377"/>
      <c r="M38" s="377"/>
      <c r="N38" s="377"/>
      <c r="O38" s="377"/>
    </row>
    <row r="39" spans="1:16" ht="27.95" customHeight="1" x14ac:dyDescent="0.2">
      <c r="A39" s="377" t="s">
        <v>118</v>
      </c>
      <c r="B39" s="377"/>
      <c r="C39" s="377"/>
      <c r="D39" s="377"/>
      <c r="E39" s="377"/>
      <c r="F39" s="377"/>
      <c r="G39" s="377"/>
      <c r="H39" s="377"/>
      <c r="I39" s="377"/>
      <c r="J39" s="377"/>
      <c r="K39" s="377"/>
      <c r="L39" s="377"/>
      <c r="M39" s="377"/>
      <c r="N39" s="377"/>
      <c r="O39" s="377"/>
      <c r="P39" s="377"/>
    </row>
    <row r="40" spans="1:16" ht="27.95" customHeight="1" x14ac:dyDescent="0.2">
      <c r="A40" s="377" t="s">
        <v>119</v>
      </c>
      <c r="B40" s="377"/>
      <c r="C40" s="377"/>
      <c r="D40" s="377"/>
      <c r="E40" s="377"/>
      <c r="F40" s="377"/>
      <c r="G40" s="377"/>
      <c r="H40" s="377"/>
      <c r="I40" s="377"/>
      <c r="J40" s="377"/>
      <c r="K40" s="377"/>
      <c r="L40" s="377"/>
      <c r="M40" s="377"/>
      <c r="N40" s="377"/>
      <c r="O40" s="377"/>
      <c r="P40" s="377"/>
    </row>
    <row r="41" spans="1:16" ht="27.95" customHeight="1" x14ac:dyDescent="0.2">
      <c r="A41" s="377" t="s">
        <v>120</v>
      </c>
      <c r="B41" s="377"/>
      <c r="C41" s="377"/>
      <c r="D41" s="377"/>
      <c r="E41" s="377"/>
      <c r="F41" s="377"/>
      <c r="G41" s="377"/>
      <c r="H41" s="377"/>
      <c r="I41" s="377"/>
      <c r="J41" s="377"/>
      <c r="K41" s="377"/>
      <c r="L41" s="377"/>
      <c r="M41" s="377"/>
      <c r="N41" s="377"/>
      <c r="O41" s="377"/>
      <c r="P41" s="377"/>
    </row>
    <row r="42" spans="1:16" ht="27.95" customHeight="1" x14ac:dyDescent="0.2">
      <c r="A42" s="373" t="s">
        <v>121</v>
      </c>
      <c r="B42" s="373"/>
      <c r="C42" s="373"/>
      <c r="D42" s="373"/>
      <c r="E42" s="373"/>
      <c r="F42" s="373"/>
      <c r="G42" s="373"/>
      <c r="H42" s="373"/>
      <c r="I42" s="373"/>
      <c r="J42" s="373"/>
      <c r="K42" s="373"/>
      <c r="L42" s="373"/>
      <c r="M42" s="373"/>
      <c r="N42" s="373"/>
      <c r="O42" s="373"/>
      <c r="P42" s="373"/>
    </row>
    <row r="43" spans="1:16" ht="27.95" customHeight="1" x14ac:dyDescent="0.2">
      <c r="A43" s="373" t="s">
        <v>122</v>
      </c>
      <c r="B43" s="373"/>
      <c r="C43" s="373"/>
      <c r="D43" s="373"/>
      <c r="E43" s="373"/>
      <c r="F43" s="373"/>
      <c r="G43" s="373"/>
      <c r="H43" s="373"/>
      <c r="I43" s="373"/>
      <c r="J43" s="373"/>
      <c r="K43" s="373"/>
      <c r="L43" s="373"/>
      <c r="M43" s="373"/>
      <c r="N43" s="373"/>
      <c r="O43" s="373"/>
      <c r="P43" s="373"/>
    </row>
    <row r="44" spans="1:16" ht="27.95" customHeight="1" x14ac:dyDescent="0.2">
      <c r="A44" s="373" t="s">
        <v>123</v>
      </c>
      <c r="B44" s="373"/>
      <c r="C44" s="373"/>
      <c r="D44" s="373"/>
      <c r="E44" s="373"/>
      <c r="F44" s="373"/>
      <c r="G44" s="373"/>
      <c r="H44" s="373"/>
      <c r="I44" s="373"/>
      <c r="J44" s="373"/>
      <c r="K44" s="373"/>
      <c r="L44" s="373"/>
      <c r="M44" s="373"/>
      <c r="N44" s="373"/>
      <c r="O44" s="373"/>
      <c r="P44" s="373"/>
    </row>
    <row r="45" spans="1:16" ht="27.95" customHeight="1" x14ac:dyDescent="0.2">
      <c r="A45" s="373" t="s">
        <v>124</v>
      </c>
      <c r="B45" s="373"/>
      <c r="C45" s="373"/>
      <c r="D45" s="373"/>
      <c r="E45" s="373"/>
      <c r="F45" s="373"/>
      <c r="G45" s="373"/>
      <c r="H45" s="373"/>
      <c r="I45" s="373"/>
      <c r="J45" s="373"/>
      <c r="K45" s="373"/>
      <c r="L45" s="373"/>
      <c r="M45" s="373"/>
      <c r="N45" s="373"/>
      <c r="O45" s="373"/>
      <c r="P45" s="373"/>
    </row>
    <row r="46" spans="1:16" ht="27.95" customHeight="1" x14ac:dyDescent="0.2">
      <c r="A46" s="373" t="s">
        <v>125</v>
      </c>
      <c r="B46" s="373"/>
      <c r="C46" s="373"/>
      <c r="D46" s="373"/>
      <c r="E46" s="373"/>
      <c r="F46" s="373"/>
      <c r="G46" s="373"/>
      <c r="H46" s="373"/>
      <c r="I46" s="373"/>
      <c r="J46" s="373"/>
      <c r="K46" s="373"/>
      <c r="L46" s="373"/>
      <c r="M46" s="373"/>
      <c r="N46" s="373"/>
      <c r="O46" s="373"/>
      <c r="P46" s="373"/>
    </row>
    <row r="47" spans="1:16" ht="36" customHeight="1" x14ac:dyDescent="0.2">
      <c r="A47" s="373" t="s">
        <v>126</v>
      </c>
      <c r="B47" s="373"/>
      <c r="C47" s="373"/>
      <c r="D47" s="373"/>
      <c r="E47" s="373"/>
      <c r="F47" s="373"/>
      <c r="G47" s="373"/>
      <c r="H47" s="373"/>
      <c r="I47" s="373"/>
      <c r="J47" s="373"/>
      <c r="K47" s="373"/>
      <c r="L47" s="373"/>
      <c r="M47" s="373"/>
      <c r="N47" s="373"/>
      <c r="O47" s="373"/>
      <c r="P47" s="373"/>
    </row>
    <row r="48" spans="1:16" ht="27.95" customHeight="1" x14ac:dyDescent="0.2">
      <c r="A48" s="373" t="s">
        <v>127</v>
      </c>
      <c r="B48" s="373"/>
      <c r="C48" s="373"/>
      <c r="D48" s="373"/>
      <c r="E48" s="373"/>
      <c r="F48" s="373"/>
      <c r="G48" s="373"/>
      <c r="H48" s="373"/>
      <c r="I48" s="373"/>
      <c r="J48" s="373"/>
      <c r="K48" s="373"/>
      <c r="L48" s="373"/>
      <c r="M48" s="373"/>
      <c r="N48" s="373"/>
      <c r="O48" s="373"/>
      <c r="P48" s="373"/>
    </row>
    <row r="49" spans="1:24" ht="27.95" customHeight="1" x14ac:dyDescent="0.2">
      <c r="A49" s="373" t="s">
        <v>128</v>
      </c>
      <c r="B49" s="373"/>
      <c r="C49" s="373"/>
      <c r="D49" s="373"/>
      <c r="E49" s="373"/>
      <c r="F49" s="373"/>
      <c r="G49" s="373"/>
      <c r="H49" s="373"/>
      <c r="I49" s="373"/>
      <c r="J49" s="373"/>
      <c r="K49" s="373"/>
      <c r="L49" s="373"/>
      <c r="M49" s="373"/>
      <c r="N49" s="373"/>
      <c r="O49" s="373"/>
      <c r="P49" s="373"/>
    </row>
    <row r="50" spans="1:24" ht="27.95" customHeight="1" x14ac:dyDescent="0.2">
      <c r="A50" s="373" t="s">
        <v>129</v>
      </c>
      <c r="B50" s="373"/>
      <c r="C50" s="373"/>
      <c r="D50" s="373"/>
      <c r="E50" s="373"/>
      <c r="F50" s="373"/>
      <c r="G50" s="373"/>
      <c r="H50" s="373"/>
      <c r="I50" s="373"/>
      <c r="J50" s="373"/>
      <c r="K50" s="373"/>
      <c r="L50" s="373"/>
      <c r="M50" s="373"/>
      <c r="N50" s="373"/>
      <c r="O50" s="373"/>
      <c r="P50" s="373"/>
    </row>
    <row r="51" spans="1:24" ht="27.95" customHeight="1" x14ac:dyDescent="0.2">
      <c r="A51" s="373" t="s">
        <v>130</v>
      </c>
      <c r="B51" s="373"/>
      <c r="C51" s="373"/>
      <c r="D51" s="373"/>
      <c r="E51" s="373"/>
      <c r="F51" s="373"/>
      <c r="G51" s="373"/>
      <c r="H51" s="373"/>
      <c r="I51" s="373"/>
      <c r="J51" s="373"/>
      <c r="K51" s="373"/>
      <c r="L51" s="373"/>
      <c r="M51" s="373"/>
      <c r="N51" s="373"/>
      <c r="O51" s="373"/>
      <c r="P51" s="373"/>
    </row>
    <row r="52" spans="1:24" ht="27.95" customHeight="1" x14ac:dyDescent="0.2">
      <c r="A52" s="373" t="s">
        <v>131</v>
      </c>
      <c r="B52" s="373"/>
      <c r="C52" s="373"/>
      <c r="D52" s="373"/>
      <c r="E52" s="373"/>
      <c r="F52" s="373"/>
      <c r="G52" s="373"/>
      <c r="H52" s="373"/>
      <c r="I52" s="373"/>
      <c r="J52" s="373"/>
      <c r="K52" s="373"/>
      <c r="L52" s="373"/>
      <c r="M52" s="373"/>
      <c r="N52" s="373"/>
      <c r="O52" s="373"/>
      <c r="P52" s="373"/>
    </row>
    <row r="53" spans="1:24" ht="24.95" customHeight="1" x14ac:dyDescent="0.2">
      <c r="A53" s="323" t="s">
        <v>0</v>
      </c>
      <c r="B53" s="323"/>
      <c r="C53" s="323"/>
      <c r="D53" s="323"/>
      <c r="E53" s="323"/>
      <c r="F53" s="323"/>
      <c r="G53" s="323"/>
      <c r="H53" s="323"/>
      <c r="I53" s="323"/>
      <c r="J53" s="323"/>
      <c r="K53" s="323"/>
      <c r="L53" s="323"/>
      <c r="M53" s="323"/>
      <c r="N53" s="323"/>
      <c r="O53" s="323"/>
      <c r="P53" s="323"/>
    </row>
    <row r="54" spans="1:24" ht="50.45" customHeight="1" thickBot="1" x14ac:dyDescent="0.25">
      <c r="A54" s="323" t="s">
        <v>132</v>
      </c>
      <c r="B54" s="323"/>
      <c r="C54" s="323"/>
      <c r="D54" s="323"/>
      <c r="E54" s="323"/>
      <c r="F54" s="323"/>
      <c r="G54" s="323"/>
      <c r="H54" s="323"/>
      <c r="I54" s="323"/>
      <c r="J54" s="323"/>
      <c r="K54" s="323"/>
      <c r="L54" s="323"/>
      <c r="M54" s="323"/>
      <c r="N54" s="47"/>
    </row>
    <row r="55" spans="1:24" ht="26.45" customHeight="1" thickBot="1" x14ac:dyDescent="0.25">
      <c r="A55" s="324" t="s">
        <v>2</v>
      </c>
      <c r="B55" s="325"/>
      <c r="C55" s="325"/>
      <c r="D55" s="325"/>
      <c r="E55" s="325"/>
      <c r="F55" s="325"/>
      <c r="G55" s="325"/>
      <c r="H55" s="325"/>
      <c r="I55" s="325"/>
      <c r="J55" s="326"/>
      <c r="K55" s="327" t="s">
        <v>3</v>
      </c>
      <c r="L55" s="328"/>
      <c r="M55" s="328"/>
      <c r="N55" s="328"/>
      <c r="O55" s="328"/>
      <c r="P55" s="328"/>
      <c r="R55" s="266" t="s">
        <v>654</v>
      </c>
      <c r="U55" s="278"/>
      <c r="W55" s="382" t="s">
        <v>679</v>
      </c>
      <c r="X55" s="386" t="s">
        <v>748</v>
      </c>
    </row>
    <row r="56" spans="1:24" ht="30" customHeight="1" thickBot="1" x14ac:dyDescent="0.25">
      <c r="A56" s="374" t="s">
        <v>4</v>
      </c>
      <c r="B56" s="2" t="s">
        <v>5</v>
      </c>
      <c r="C56" s="375" t="s">
        <v>6</v>
      </c>
      <c r="D56" s="376"/>
      <c r="E56" s="375" t="s">
        <v>6</v>
      </c>
      <c r="F56" s="376"/>
      <c r="G56" s="375" t="s">
        <v>6</v>
      </c>
      <c r="H56" s="376"/>
      <c r="I56" s="375" t="s">
        <v>6</v>
      </c>
      <c r="J56" s="376"/>
      <c r="K56" s="314" t="s">
        <v>7</v>
      </c>
      <c r="L56" s="322"/>
      <c r="M56" s="314" t="s">
        <v>8</v>
      </c>
      <c r="N56" s="315"/>
      <c r="O56" s="316" t="s">
        <v>9</v>
      </c>
      <c r="P56" s="329" t="s">
        <v>10</v>
      </c>
      <c r="R56" s="379" t="s">
        <v>607</v>
      </c>
      <c r="U56" s="279"/>
      <c r="W56" s="382"/>
      <c r="X56" s="386"/>
    </row>
    <row r="57" spans="1:24" ht="30" customHeight="1" thickBot="1" x14ac:dyDescent="0.25">
      <c r="A57" s="371"/>
      <c r="B57" s="371" t="s">
        <v>11</v>
      </c>
      <c r="C57" s="319" t="s">
        <v>12</v>
      </c>
      <c r="D57" s="320"/>
      <c r="E57" s="319" t="s">
        <v>13</v>
      </c>
      <c r="F57" s="320"/>
      <c r="G57" s="319" t="s">
        <v>14</v>
      </c>
      <c r="H57" s="320"/>
      <c r="I57" s="319" t="s">
        <v>15</v>
      </c>
      <c r="J57" s="320"/>
      <c r="K57" s="314" t="s">
        <v>16</v>
      </c>
      <c r="L57" s="322"/>
      <c r="M57" s="314" t="s">
        <v>17</v>
      </c>
      <c r="N57" s="322"/>
      <c r="O57" s="317"/>
      <c r="P57" s="330"/>
      <c r="R57" s="379"/>
      <c r="U57" s="279"/>
      <c r="W57" s="382"/>
      <c r="X57" s="386"/>
    </row>
    <row r="58" spans="1:24" ht="54" customHeight="1" thickBot="1" x14ac:dyDescent="0.25">
      <c r="A58" s="372"/>
      <c r="B58" s="372"/>
      <c r="C58" s="3" t="s">
        <v>18</v>
      </c>
      <c r="D58" s="3" t="s">
        <v>19</v>
      </c>
      <c r="E58" s="3" t="s">
        <v>18</v>
      </c>
      <c r="F58" s="3" t="s">
        <v>19</v>
      </c>
      <c r="G58" s="3" t="s">
        <v>18</v>
      </c>
      <c r="H58" s="3" t="s">
        <v>19</v>
      </c>
      <c r="I58" s="3" t="s">
        <v>18</v>
      </c>
      <c r="J58" s="3" t="s">
        <v>19</v>
      </c>
      <c r="K58" s="5" t="s">
        <v>20</v>
      </c>
      <c r="L58" s="248" t="s">
        <v>21</v>
      </c>
      <c r="M58" s="6" t="s">
        <v>22</v>
      </c>
      <c r="N58" s="7" t="s">
        <v>23</v>
      </c>
      <c r="O58" s="318"/>
      <c r="P58" s="318"/>
      <c r="R58" s="380"/>
      <c r="U58" s="279"/>
      <c r="W58" s="382"/>
      <c r="X58" s="386"/>
    </row>
    <row r="59" spans="1:24" ht="57" customHeight="1" thickBot="1" x14ac:dyDescent="0.25">
      <c r="A59" s="48" t="s">
        <v>133</v>
      </c>
      <c r="B59" s="49" t="s">
        <v>134</v>
      </c>
      <c r="C59" s="50">
        <v>100</v>
      </c>
      <c r="D59" s="51">
        <v>0</v>
      </c>
      <c r="E59" s="50">
        <v>100</v>
      </c>
      <c r="F59" s="52">
        <v>0</v>
      </c>
      <c r="G59" s="51">
        <v>291</v>
      </c>
      <c r="H59" s="52">
        <v>0</v>
      </c>
      <c r="I59" s="52">
        <v>149</v>
      </c>
      <c r="J59" s="53" t="s">
        <v>135</v>
      </c>
      <c r="K59" s="18">
        <f>0-812</f>
        <v>-812</v>
      </c>
      <c r="L59" s="39">
        <f>K59/812</f>
        <v>-1</v>
      </c>
      <c r="M59" s="20" t="s">
        <v>92</v>
      </c>
      <c r="N59" s="19">
        <f>0/149-1</f>
        <v>-1</v>
      </c>
      <c r="O59" s="290"/>
      <c r="P59" s="273" t="s">
        <v>136</v>
      </c>
      <c r="R59" s="228"/>
      <c r="W59" s="294" t="s">
        <v>670</v>
      </c>
      <c r="X59" s="310" t="s">
        <v>771</v>
      </c>
    </row>
    <row r="60" spans="1:24" ht="99.95" customHeight="1" thickBot="1" x14ac:dyDescent="0.25">
      <c r="A60" s="48" t="s">
        <v>137</v>
      </c>
      <c r="B60" s="49" t="s">
        <v>138</v>
      </c>
      <c r="C60" s="54">
        <v>170000</v>
      </c>
      <c r="D60" s="55">
        <v>168111</v>
      </c>
      <c r="E60" s="55">
        <v>174000</v>
      </c>
      <c r="F60" s="55">
        <v>200939</v>
      </c>
      <c r="G60" s="56">
        <v>178000</v>
      </c>
      <c r="H60" s="55">
        <v>186322</v>
      </c>
      <c r="I60" s="55">
        <v>170000</v>
      </c>
      <c r="J60" s="53" t="s">
        <v>139</v>
      </c>
      <c r="K60" s="35">
        <f>214000-182000</f>
        <v>32000</v>
      </c>
      <c r="L60" s="57">
        <f>K60/182000</f>
        <v>0.17582417582417584</v>
      </c>
      <c r="M60" s="21" t="s">
        <v>27</v>
      </c>
      <c r="N60" s="22">
        <f>214264/170000-1</f>
        <v>0.26037647058823521</v>
      </c>
      <c r="O60" s="290"/>
      <c r="P60" s="273" t="s">
        <v>100</v>
      </c>
      <c r="R60" s="228"/>
      <c r="W60" s="294" t="s">
        <v>671</v>
      </c>
      <c r="X60" s="310" t="s">
        <v>751</v>
      </c>
    </row>
    <row r="61" spans="1:24" ht="81" customHeight="1" thickBot="1" x14ac:dyDescent="0.25">
      <c r="A61" s="48" t="s">
        <v>140</v>
      </c>
      <c r="B61" s="49" t="s">
        <v>141</v>
      </c>
      <c r="C61" s="50">
        <v>35</v>
      </c>
      <c r="D61" s="58">
        <v>9</v>
      </c>
      <c r="E61" s="50">
        <v>35</v>
      </c>
      <c r="F61" s="52">
        <v>53</v>
      </c>
      <c r="G61" s="51">
        <v>35</v>
      </c>
      <c r="H61" s="52">
        <v>36</v>
      </c>
      <c r="I61" s="52">
        <v>61</v>
      </c>
      <c r="J61" s="53" t="s">
        <v>142</v>
      </c>
      <c r="K61" s="18">
        <f>(D61+F61+H61+19)-140</f>
        <v>-23</v>
      </c>
      <c r="L61" s="39">
        <f>K61/140</f>
        <v>-0.16428571428571428</v>
      </c>
      <c r="M61" s="20" t="s">
        <v>31</v>
      </c>
      <c r="N61" s="16">
        <f>19/61-1</f>
        <v>-0.68852459016393441</v>
      </c>
      <c r="O61" s="290"/>
      <c r="P61" s="273" t="s">
        <v>38</v>
      </c>
      <c r="R61" s="228"/>
      <c r="W61" s="294" t="s">
        <v>672</v>
      </c>
      <c r="X61" s="309" t="s">
        <v>786</v>
      </c>
    </row>
    <row r="62" spans="1:24" ht="92.1" customHeight="1" thickBot="1" x14ac:dyDescent="0.25">
      <c r="A62" s="48" t="s">
        <v>143</v>
      </c>
      <c r="B62" s="49" t="s">
        <v>144</v>
      </c>
      <c r="C62" s="50">
        <v>30</v>
      </c>
      <c r="D62" s="50">
        <v>31</v>
      </c>
      <c r="E62" s="50">
        <v>30</v>
      </c>
      <c r="F62" s="52">
        <v>11</v>
      </c>
      <c r="G62" s="51">
        <v>32</v>
      </c>
      <c r="H62" s="52">
        <v>16</v>
      </c>
      <c r="I62" s="52">
        <v>58</v>
      </c>
      <c r="J62" s="53" t="s">
        <v>145</v>
      </c>
      <c r="K62" s="18">
        <f>(D62+F62+H62+6)-120</f>
        <v>-56</v>
      </c>
      <c r="L62" s="39">
        <f>K62/120</f>
        <v>-0.46666666666666667</v>
      </c>
      <c r="M62" s="20" t="s">
        <v>31</v>
      </c>
      <c r="N62" s="16">
        <f>6/58-1</f>
        <v>-0.89655172413793105</v>
      </c>
      <c r="O62" s="290"/>
      <c r="P62" s="273" t="s">
        <v>146</v>
      </c>
      <c r="R62" s="228"/>
      <c r="W62" s="294" t="s">
        <v>735</v>
      </c>
      <c r="X62" s="309" t="s">
        <v>786</v>
      </c>
    </row>
    <row r="63" spans="1:24" ht="81" customHeight="1" thickBot="1" x14ac:dyDescent="0.25">
      <c r="A63" s="48" t="s">
        <v>147</v>
      </c>
      <c r="B63" s="49" t="s">
        <v>148</v>
      </c>
      <c r="C63" s="50">
        <v>5</v>
      </c>
      <c r="D63" s="58">
        <v>4</v>
      </c>
      <c r="E63" s="50">
        <v>5</v>
      </c>
      <c r="F63" s="52">
        <v>8</v>
      </c>
      <c r="G63" s="51">
        <v>7</v>
      </c>
      <c r="H63" s="52">
        <v>4</v>
      </c>
      <c r="I63" s="52">
        <v>5</v>
      </c>
      <c r="J63" s="53" t="s">
        <v>149</v>
      </c>
      <c r="K63" s="35">
        <f>(D63+F63+H63+9)-20</f>
        <v>5</v>
      </c>
      <c r="L63" s="57">
        <f>K63/20</f>
        <v>0.25</v>
      </c>
      <c r="M63" s="21" t="s">
        <v>27</v>
      </c>
      <c r="N63" s="22">
        <f>9/5-1</f>
        <v>0.8</v>
      </c>
      <c r="O63" s="290"/>
      <c r="P63" s="273" t="s">
        <v>150</v>
      </c>
      <c r="R63" s="228"/>
      <c r="W63" s="294" t="s">
        <v>673</v>
      </c>
      <c r="X63" s="309" t="s">
        <v>786</v>
      </c>
    </row>
    <row r="64" spans="1:24" ht="81" customHeight="1" thickBot="1" x14ac:dyDescent="0.25">
      <c r="A64" s="48" t="s">
        <v>151</v>
      </c>
      <c r="B64" s="59" t="s">
        <v>152</v>
      </c>
      <c r="C64" s="50">
        <v>15</v>
      </c>
      <c r="D64" s="58">
        <v>3</v>
      </c>
      <c r="E64" s="50">
        <v>15</v>
      </c>
      <c r="F64" s="52">
        <v>8</v>
      </c>
      <c r="G64" s="51">
        <v>15</v>
      </c>
      <c r="H64" s="52">
        <v>2</v>
      </c>
      <c r="I64" s="52">
        <v>26</v>
      </c>
      <c r="J64" s="53" t="s">
        <v>153</v>
      </c>
      <c r="K64" s="18">
        <f>(D64+F64+H64+2)-60</f>
        <v>-45</v>
      </c>
      <c r="L64" s="39">
        <f>K64/60</f>
        <v>-0.75</v>
      </c>
      <c r="M64" s="60" t="s">
        <v>154</v>
      </c>
      <c r="N64" s="16">
        <f>2/26-1</f>
        <v>-0.92307692307692313</v>
      </c>
      <c r="O64" s="290"/>
      <c r="P64" s="273" t="s">
        <v>38</v>
      </c>
      <c r="R64" s="228"/>
      <c r="W64" s="294" t="s">
        <v>736</v>
      </c>
      <c r="X64" s="309" t="s">
        <v>786</v>
      </c>
    </row>
    <row r="65" spans="1:24" ht="81" customHeight="1" thickBot="1" x14ac:dyDescent="0.25">
      <c r="A65" s="48" t="s">
        <v>155</v>
      </c>
      <c r="B65" s="49" t="s">
        <v>156</v>
      </c>
      <c r="C65" s="55">
        <v>3000000</v>
      </c>
      <c r="D65" s="61">
        <v>2572354</v>
      </c>
      <c r="E65" s="55">
        <v>3418394</v>
      </c>
      <c r="F65" s="62">
        <v>2611669</v>
      </c>
      <c r="G65" s="56">
        <v>3992209</v>
      </c>
      <c r="H65" s="56">
        <v>2465147</v>
      </c>
      <c r="I65" s="56">
        <v>2700000</v>
      </c>
      <c r="J65" s="53" t="s">
        <v>157</v>
      </c>
      <c r="K65" s="18">
        <f>(D65+F65+H65+2253068)-12500000</f>
        <v>-2597762</v>
      </c>
      <c r="L65" s="39">
        <f>K65/12500000</f>
        <v>-0.20782096</v>
      </c>
      <c r="M65" s="20" t="s">
        <v>31</v>
      </c>
      <c r="N65" s="16">
        <f>2253068/2700000-1</f>
        <v>-0.16553037037037033</v>
      </c>
      <c r="O65" s="290"/>
      <c r="P65" s="273" t="s">
        <v>38</v>
      </c>
      <c r="R65" s="228"/>
      <c r="W65" s="294" t="s">
        <v>674</v>
      </c>
      <c r="X65" s="309" t="s">
        <v>786</v>
      </c>
    </row>
    <row r="66" spans="1:24" ht="108" customHeight="1" thickBot="1" x14ac:dyDescent="0.25">
      <c r="A66" s="48" t="s">
        <v>158</v>
      </c>
      <c r="B66" s="49" t="s">
        <v>159</v>
      </c>
      <c r="C66" s="55">
        <v>7500000</v>
      </c>
      <c r="D66" s="61">
        <v>6944756</v>
      </c>
      <c r="E66" s="55">
        <v>7500000</v>
      </c>
      <c r="F66" s="56">
        <v>6844324</v>
      </c>
      <c r="G66" s="56">
        <v>7500000</v>
      </c>
      <c r="H66" s="56">
        <v>6956725</v>
      </c>
      <c r="I66" s="56">
        <v>6600000</v>
      </c>
      <c r="J66" s="53" t="s">
        <v>160</v>
      </c>
      <c r="K66" s="18">
        <f>(D66+F66+H66+6165258)-30000000</f>
        <v>-3088937</v>
      </c>
      <c r="L66" s="39">
        <f>K66/30000000</f>
        <v>-0.10296456666666666</v>
      </c>
      <c r="M66" s="20" t="s">
        <v>31</v>
      </c>
      <c r="N66" s="16">
        <f>6165258/6600000-1</f>
        <v>-6.5869999999999984E-2</v>
      </c>
      <c r="O66" s="290"/>
      <c r="P66" s="273" t="s">
        <v>38</v>
      </c>
      <c r="R66" s="228"/>
      <c r="W66" s="294" t="s">
        <v>675</v>
      </c>
      <c r="X66" s="309" t="s">
        <v>786</v>
      </c>
    </row>
    <row r="67" spans="1:24" ht="77.099999999999994" customHeight="1" thickBot="1" x14ac:dyDescent="0.25">
      <c r="A67" s="48" t="s">
        <v>161</v>
      </c>
      <c r="B67" s="49" t="s">
        <v>162</v>
      </c>
      <c r="C67" s="50">
        <v>25</v>
      </c>
      <c r="D67" s="58">
        <v>1</v>
      </c>
      <c r="E67" s="50">
        <v>20</v>
      </c>
      <c r="F67" s="52">
        <v>5</v>
      </c>
      <c r="G67" s="51">
        <v>33</v>
      </c>
      <c r="H67" s="52">
        <v>12</v>
      </c>
      <c r="I67" s="52">
        <v>26</v>
      </c>
      <c r="J67" s="53" t="s">
        <v>163</v>
      </c>
      <c r="K67" s="18">
        <f>(D67+F67+H67+21)-80</f>
        <v>-41</v>
      </c>
      <c r="L67" s="39">
        <f>K67/80</f>
        <v>-0.51249999999999996</v>
      </c>
      <c r="M67" s="21" t="s">
        <v>27</v>
      </c>
      <c r="N67" s="16">
        <f>21/26-1</f>
        <v>-0.19230769230769229</v>
      </c>
      <c r="O67" s="290"/>
      <c r="P67" s="273" t="s">
        <v>164</v>
      </c>
      <c r="R67" s="228"/>
      <c r="W67" s="294" t="s">
        <v>676</v>
      </c>
      <c r="X67" s="309" t="s">
        <v>786</v>
      </c>
    </row>
    <row r="68" spans="1:24" ht="74.45" customHeight="1" thickBot="1" x14ac:dyDescent="0.25">
      <c r="A68" s="48" t="s">
        <v>165</v>
      </c>
      <c r="B68" s="49" t="s">
        <v>166</v>
      </c>
      <c r="C68" s="50">
        <v>50</v>
      </c>
      <c r="D68" s="58">
        <v>98</v>
      </c>
      <c r="E68" s="50">
        <v>25</v>
      </c>
      <c r="F68" s="52">
        <v>47</v>
      </c>
      <c r="G68" s="51">
        <v>50</v>
      </c>
      <c r="H68" s="52">
        <v>42</v>
      </c>
      <c r="I68" s="52">
        <v>50</v>
      </c>
      <c r="J68" s="63">
        <v>26</v>
      </c>
      <c r="K68" s="35">
        <f>(D68+F68+H68+J68)-175</f>
        <v>38</v>
      </c>
      <c r="L68" s="57">
        <f>K68/175</f>
        <v>0.21714285714285714</v>
      </c>
      <c r="M68" s="20" t="s">
        <v>31</v>
      </c>
      <c r="N68" s="16">
        <f>J68/I68-1</f>
        <v>-0.48</v>
      </c>
      <c r="O68" s="290"/>
      <c r="P68" s="273" t="s">
        <v>38</v>
      </c>
      <c r="R68" s="228"/>
      <c r="W68" s="294" t="s">
        <v>677</v>
      </c>
      <c r="X68" s="309" t="s">
        <v>786</v>
      </c>
    </row>
    <row r="69" spans="1:24" ht="57" customHeight="1" thickBot="1" x14ac:dyDescent="0.25">
      <c r="A69" s="48" t="s">
        <v>167</v>
      </c>
      <c r="B69" s="49" t="s">
        <v>168</v>
      </c>
      <c r="C69" s="50">
        <v>600</v>
      </c>
      <c r="D69" s="58">
        <v>359</v>
      </c>
      <c r="E69" s="50">
        <v>600</v>
      </c>
      <c r="F69" s="52">
        <v>279</v>
      </c>
      <c r="G69" s="51">
        <v>600</v>
      </c>
      <c r="H69" s="51">
        <v>378</v>
      </c>
      <c r="I69" s="51">
        <v>200</v>
      </c>
      <c r="J69" s="53" t="s">
        <v>169</v>
      </c>
      <c r="K69" s="18">
        <f>(D69+F69+H69+288)-2400</f>
        <v>-1096</v>
      </c>
      <c r="L69" s="39">
        <f>K69/2400</f>
        <v>-0.45666666666666667</v>
      </c>
      <c r="M69" s="20" t="s">
        <v>31</v>
      </c>
      <c r="N69" s="22">
        <f>288/200-1</f>
        <v>0.43999999999999995</v>
      </c>
      <c r="O69" s="290"/>
      <c r="P69" s="273" t="s">
        <v>170</v>
      </c>
      <c r="R69" s="228"/>
      <c r="W69" s="294" t="s">
        <v>678</v>
      </c>
      <c r="X69" s="309" t="s">
        <v>786</v>
      </c>
    </row>
    <row r="70" spans="1:24" ht="57" customHeight="1" thickBot="1" x14ac:dyDescent="0.25">
      <c r="A70" s="48" t="s">
        <v>171</v>
      </c>
      <c r="B70" s="59" t="s">
        <v>172</v>
      </c>
      <c r="C70" s="50">
        <v>158</v>
      </c>
      <c r="D70" s="58">
        <v>111</v>
      </c>
      <c r="E70" s="50">
        <v>151</v>
      </c>
      <c r="F70" s="52">
        <v>114</v>
      </c>
      <c r="G70" s="51">
        <v>176</v>
      </c>
      <c r="H70" s="51">
        <v>152</v>
      </c>
      <c r="I70" s="51">
        <v>160</v>
      </c>
      <c r="J70" s="63">
        <v>158</v>
      </c>
      <c r="K70" s="18">
        <f>158-160</f>
        <v>-2</v>
      </c>
      <c r="L70" s="39">
        <f>K70/160</f>
        <v>-1.2500000000000001E-2</v>
      </c>
      <c r="M70" s="21" t="s">
        <v>27</v>
      </c>
      <c r="N70" s="16">
        <f>J70/I70-1</f>
        <v>-1.2499999999999956E-2</v>
      </c>
      <c r="O70" s="290"/>
      <c r="P70" s="273" t="s">
        <v>28</v>
      </c>
      <c r="R70" s="228"/>
      <c r="W70" s="294" t="s">
        <v>680</v>
      </c>
      <c r="X70" s="309" t="s">
        <v>786</v>
      </c>
    </row>
    <row r="71" spans="1:24" ht="95.45" customHeight="1" thickBot="1" x14ac:dyDescent="0.25">
      <c r="A71" s="48" t="s">
        <v>173</v>
      </c>
      <c r="B71" s="49" t="s">
        <v>174</v>
      </c>
      <c r="C71" s="50">
        <v>9</v>
      </c>
      <c r="D71" s="58">
        <v>1</v>
      </c>
      <c r="E71" s="50">
        <v>9</v>
      </c>
      <c r="F71" s="52">
        <v>1</v>
      </c>
      <c r="G71" s="51">
        <v>12</v>
      </c>
      <c r="H71" s="51">
        <v>0</v>
      </c>
      <c r="I71" s="51">
        <v>6</v>
      </c>
      <c r="J71" s="53" t="s">
        <v>175</v>
      </c>
      <c r="K71" s="18">
        <f>(D71+F71+H71+2)-37</f>
        <v>-33</v>
      </c>
      <c r="L71" s="39">
        <f>K71/37</f>
        <v>-0.89189189189189189</v>
      </c>
      <c r="M71" s="21" t="s">
        <v>27</v>
      </c>
      <c r="N71" s="16">
        <f>2/6-1</f>
        <v>-0.66666666666666674</v>
      </c>
      <c r="O71" s="290"/>
      <c r="P71" s="64" t="s">
        <v>176</v>
      </c>
      <c r="R71" s="228"/>
      <c r="W71" s="294" t="s">
        <v>681</v>
      </c>
      <c r="X71" s="309" t="s">
        <v>786</v>
      </c>
    </row>
    <row r="72" spans="1:24" ht="97.5" customHeight="1" thickBot="1" x14ac:dyDescent="0.25">
      <c r="A72" s="48" t="s">
        <v>177</v>
      </c>
      <c r="B72" s="49" t="s">
        <v>178</v>
      </c>
      <c r="C72" s="50">
        <v>7</v>
      </c>
      <c r="D72" s="58">
        <v>7</v>
      </c>
      <c r="E72" s="50">
        <v>7</v>
      </c>
      <c r="F72" s="52">
        <v>5</v>
      </c>
      <c r="G72" s="51">
        <v>7</v>
      </c>
      <c r="H72" s="52">
        <v>1</v>
      </c>
      <c r="I72" s="52">
        <v>7</v>
      </c>
      <c r="J72" s="53" t="s">
        <v>179</v>
      </c>
      <c r="K72" s="18">
        <f>(D72+F72+H72+2)-28</f>
        <v>-13</v>
      </c>
      <c r="L72" s="39">
        <f>K72/28</f>
        <v>-0.4642857142857143</v>
      </c>
      <c r="M72" s="21" t="s">
        <v>27</v>
      </c>
      <c r="N72" s="16">
        <f>2/7-1</f>
        <v>-0.7142857142857143</v>
      </c>
      <c r="O72" s="290"/>
      <c r="P72" s="64" t="s">
        <v>176</v>
      </c>
      <c r="R72" s="228"/>
      <c r="W72" s="294" t="s">
        <v>682</v>
      </c>
      <c r="X72" s="309" t="s">
        <v>786</v>
      </c>
    </row>
    <row r="73" spans="1:24" ht="119.1" customHeight="1" thickBot="1" x14ac:dyDescent="0.25">
      <c r="A73" s="48" t="s">
        <v>180</v>
      </c>
      <c r="B73" s="49" t="s">
        <v>181</v>
      </c>
      <c r="C73" s="50">
        <v>120</v>
      </c>
      <c r="D73" s="58">
        <v>102</v>
      </c>
      <c r="E73" s="50">
        <v>120</v>
      </c>
      <c r="F73" s="52">
        <v>80</v>
      </c>
      <c r="G73" s="51">
        <v>60</v>
      </c>
      <c r="H73" s="52">
        <v>30</v>
      </c>
      <c r="I73" s="52">
        <v>84</v>
      </c>
      <c r="J73" s="53" t="s">
        <v>182</v>
      </c>
      <c r="K73" s="18">
        <f>(D73+F73+H73+75)-480</f>
        <v>-193</v>
      </c>
      <c r="L73" s="39">
        <f>K73/480</f>
        <v>-0.40208333333333335</v>
      </c>
      <c r="M73" s="21" t="s">
        <v>27</v>
      </c>
      <c r="N73" s="16">
        <f>75/84-1</f>
        <v>-0.1071428571428571</v>
      </c>
      <c r="O73" s="290"/>
      <c r="P73" s="64" t="s">
        <v>176</v>
      </c>
      <c r="R73" s="228"/>
      <c r="W73" s="294" t="s">
        <v>683</v>
      </c>
      <c r="X73" s="309" t="s">
        <v>786</v>
      </c>
    </row>
    <row r="74" spans="1:24" ht="159.94999999999999" customHeight="1" thickBot="1" x14ac:dyDescent="0.25">
      <c r="A74" s="48" t="s">
        <v>183</v>
      </c>
      <c r="B74" s="49" t="s">
        <v>184</v>
      </c>
      <c r="C74" s="50">
        <v>40</v>
      </c>
      <c r="D74" s="58">
        <v>7</v>
      </c>
      <c r="E74" s="50">
        <v>40</v>
      </c>
      <c r="F74" s="52">
        <v>9</v>
      </c>
      <c r="G74" s="51">
        <v>44</v>
      </c>
      <c r="H74" s="52">
        <v>16</v>
      </c>
      <c r="I74" s="52">
        <v>45</v>
      </c>
      <c r="J74" s="53" t="s">
        <v>185</v>
      </c>
      <c r="K74" s="18">
        <f>(D74+F74+H74+8)-80</f>
        <v>-40</v>
      </c>
      <c r="L74" s="39">
        <f>K74/80</f>
        <v>-0.5</v>
      </c>
      <c r="M74" s="20" t="s">
        <v>31</v>
      </c>
      <c r="N74" s="16">
        <f>8/45-1</f>
        <v>-0.82222222222222219</v>
      </c>
      <c r="O74" s="290"/>
      <c r="P74" s="64" t="s">
        <v>186</v>
      </c>
      <c r="R74" s="228"/>
      <c r="W74" s="295" t="s">
        <v>684</v>
      </c>
      <c r="X74" s="309" t="s">
        <v>786</v>
      </c>
    </row>
    <row r="75" spans="1:24" ht="96" customHeight="1" thickBot="1" x14ac:dyDescent="0.25">
      <c r="A75" s="48" t="s">
        <v>187</v>
      </c>
      <c r="B75" s="49" t="s">
        <v>188</v>
      </c>
      <c r="C75" s="50">
        <v>40</v>
      </c>
      <c r="D75" s="58">
        <v>27</v>
      </c>
      <c r="E75" s="50">
        <v>40</v>
      </c>
      <c r="F75" s="52">
        <v>16</v>
      </c>
      <c r="G75" s="51">
        <v>41</v>
      </c>
      <c r="H75" s="52">
        <v>0</v>
      </c>
      <c r="I75" s="52">
        <v>20</v>
      </c>
      <c r="J75" s="53" t="s">
        <v>189</v>
      </c>
      <c r="K75" s="18">
        <f>(D75+F75+H75+12)-162</f>
        <v>-107</v>
      </c>
      <c r="L75" s="39">
        <f>K75/162</f>
        <v>-0.66049382716049387</v>
      </c>
      <c r="M75" s="21" t="s">
        <v>27</v>
      </c>
      <c r="N75" s="16">
        <f>12/20-1</f>
        <v>-0.4</v>
      </c>
      <c r="O75" s="290"/>
      <c r="P75" s="64" t="s">
        <v>190</v>
      </c>
      <c r="R75" s="228"/>
      <c r="W75" s="295" t="s">
        <v>685</v>
      </c>
      <c r="X75" s="309" t="s">
        <v>786</v>
      </c>
    </row>
    <row r="76" spans="1:24" ht="96" customHeight="1" thickBot="1" x14ac:dyDescent="0.25">
      <c r="A76" s="48" t="s">
        <v>191</v>
      </c>
      <c r="B76" s="49" t="s">
        <v>192</v>
      </c>
      <c r="C76" s="50">
        <v>125</v>
      </c>
      <c r="D76" s="58">
        <v>155</v>
      </c>
      <c r="E76" s="50">
        <v>125</v>
      </c>
      <c r="F76" s="52">
        <v>175</v>
      </c>
      <c r="G76" s="51">
        <v>116</v>
      </c>
      <c r="H76" s="52">
        <v>125</v>
      </c>
      <c r="I76" s="52">
        <v>149</v>
      </c>
      <c r="J76" s="53" t="s">
        <v>193</v>
      </c>
      <c r="K76" s="35">
        <f>(D76+F76+H76+172)-502</f>
        <v>125</v>
      </c>
      <c r="L76" s="57">
        <f>K76/502</f>
        <v>0.24900398406374502</v>
      </c>
      <c r="M76" s="21" t="s">
        <v>27</v>
      </c>
      <c r="N76" s="22">
        <f>172/149-1</f>
        <v>0.15436241610738266</v>
      </c>
      <c r="O76" s="290"/>
      <c r="P76" s="64" t="s">
        <v>176</v>
      </c>
      <c r="R76" s="228"/>
      <c r="W76" s="294" t="s">
        <v>686</v>
      </c>
      <c r="X76" s="309" t="s">
        <v>786</v>
      </c>
    </row>
    <row r="77" spans="1:24" ht="71.45" customHeight="1" thickBot="1" x14ac:dyDescent="0.25">
      <c r="A77" s="48" t="s">
        <v>194</v>
      </c>
      <c r="B77" s="49" t="s">
        <v>195</v>
      </c>
      <c r="C77" s="50">
        <v>200</v>
      </c>
      <c r="D77" s="58">
        <v>0</v>
      </c>
      <c r="E77" s="50">
        <v>100</v>
      </c>
      <c r="F77" s="52">
        <v>58</v>
      </c>
      <c r="G77" s="51">
        <v>200</v>
      </c>
      <c r="H77" s="52">
        <v>9</v>
      </c>
      <c r="I77" s="52">
        <v>80</v>
      </c>
      <c r="J77" s="63">
        <v>35</v>
      </c>
      <c r="K77" s="18">
        <f>(D77+F77+H77+J77)-400</f>
        <v>-298</v>
      </c>
      <c r="L77" s="39">
        <f>K77/400</f>
        <v>-0.745</v>
      </c>
      <c r="M77" s="21" t="s">
        <v>27</v>
      </c>
      <c r="N77" s="16">
        <f>J77/I77-1</f>
        <v>-0.5625</v>
      </c>
      <c r="O77" s="290"/>
      <c r="P77" s="273" t="s">
        <v>108</v>
      </c>
      <c r="R77" s="228"/>
      <c r="W77" s="294" t="s">
        <v>687</v>
      </c>
      <c r="X77" s="309" t="s">
        <v>786</v>
      </c>
    </row>
    <row r="78" spans="1:24" ht="138" customHeight="1" thickBot="1" x14ac:dyDescent="0.25">
      <c r="A78" s="48" t="s">
        <v>196</v>
      </c>
      <c r="B78" s="49" t="s">
        <v>197</v>
      </c>
      <c r="C78" s="50">
        <v>71</v>
      </c>
      <c r="D78" s="58">
        <v>50</v>
      </c>
      <c r="E78" s="50">
        <v>57</v>
      </c>
      <c r="F78" s="52">
        <v>10</v>
      </c>
      <c r="G78" s="51">
        <v>30</v>
      </c>
      <c r="H78" s="52">
        <v>21</v>
      </c>
      <c r="I78" s="52">
        <v>51</v>
      </c>
      <c r="J78" s="63">
        <v>31</v>
      </c>
      <c r="K78" s="35">
        <f>(D78+F78+H78+J78)-98</f>
        <v>14</v>
      </c>
      <c r="L78" s="57">
        <f>K78/98</f>
        <v>0.14285714285714285</v>
      </c>
      <c r="M78" s="21" t="s">
        <v>27</v>
      </c>
      <c r="N78" s="16">
        <f>J78/I78-1</f>
        <v>-0.39215686274509809</v>
      </c>
      <c r="O78" s="27"/>
      <c r="P78" s="64" t="s">
        <v>198</v>
      </c>
      <c r="R78" s="219" t="s">
        <v>614</v>
      </c>
      <c r="W78" s="295" t="s">
        <v>688</v>
      </c>
      <c r="X78" s="310" t="s">
        <v>789</v>
      </c>
    </row>
    <row r="79" spans="1:24" ht="170.25" customHeight="1" thickBot="1" x14ac:dyDescent="0.25">
      <c r="A79" s="48" t="s">
        <v>199</v>
      </c>
      <c r="B79" s="49" t="s">
        <v>200</v>
      </c>
      <c r="C79" s="50">
        <v>10</v>
      </c>
      <c r="D79" s="58">
        <v>9</v>
      </c>
      <c r="E79" s="50">
        <v>28</v>
      </c>
      <c r="F79" s="52">
        <v>2</v>
      </c>
      <c r="G79" s="51">
        <v>24</v>
      </c>
      <c r="H79" s="52">
        <v>1</v>
      </c>
      <c r="I79" s="52">
        <v>10</v>
      </c>
      <c r="J79" s="53" t="s">
        <v>201</v>
      </c>
      <c r="K79" s="18">
        <f>(D79+F79+H79+8)-50</f>
        <v>-30</v>
      </c>
      <c r="L79" s="39">
        <f>K79/50</f>
        <v>-0.6</v>
      </c>
      <c r="M79" s="21" t="s">
        <v>27</v>
      </c>
      <c r="N79" s="16">
        <f>8/10-1</f>
        <v>-0.19999999999999996</v>
      </c>
      <c r="O79" s="290"/>
      <c r="P79" s="64" t="s">
        <v>202</v>
      </c>
      <c r="R79" s="228"/>
      <c r="W79" s="294" t="s">
        <v>689</v>
      </c>
      <c r="X79" s="310" t="s">
        <v>790</v>
      </c>
    </row>
    <row r="80" spans="1:24" ht="111.75" customHeight="1" thickBot="1" x14ac:dyDescent="0.25">
      <c r="A80" s="48" t="s">
        <v>203</v>
      </c>
      <c r="B80" s="49" t="s">
        <v>204</v>
      </c>
      <c r="C80" s="50">
        <v>9</v>
      </c>
      <c r="D80" s="58">
        <v>5</v>
      </c>
      <c r="E80" s="50">
        <v>44</v>
      </c>
      <c r="F80" s="52">
        <v>0</v>
      </c>
      <c r="G80" s="51">
        <v>48</v>
      </c>
      <c r="H80" s="52">
        <v>77</v>
      </c>
      <c r="I80" s="52">
        <v>156</v>
      </c>
      <c r="J80" s="53" t="s">
        <v>205</v>
      </c>
      <c r="K80" s="35">
        <f>(D80+F80+H80+108)-98</f>
        <v>92</v>
      </c>
      <c r="L80" s="57">
        <f>K80/98</f>
        <v>0.93877551020408168</v>
      </c>
      <c r="M80" s="21" t="s">
        <v>27</v>
      </c>
      <c r="N80" s="16">
        <f>108/I80-1</f>
        <v>-0.30769230769230771</v>
      </c>
      <c r="O80" s="290"/>
      <c r="P80" s="64" t="s">
        <v>206</v>
      </c>
      <c r="R80" s="228"/>
      <c r="W80" s="294" t="s">
        <v>690</v>
      </c>
      <c r="X80" s="310" t="s">
        <v>791</v>
      </c>
    </row>
    <row r="81" spans="1:24" ht="98.1" customHeight="1" thickBot="1" x14ac:dyDescent="0.25">
      <c r="A81" s="48" t="s">
        <v>207</v>
      </c>
      <c r="B81" s="49" t="s">
        <v>208</v>
      </c>
      <c r="C81" s="50">
        <v>75</v>
      </c>
      <c r="D81" s="58">
        <v>127</v>
      </c>
      <c r="E81" s="50">
        <v>75</v>
      </c>
      <c r="F81" s="52">
        <v>90</v>
      </c>
      <c r="G81" s="51">
        <v>49</v>
      </c>
      <c r="H81" s="52">
        <v>42</v>
      </c>
      <c r="I81" s="52">
        <v>44</v>
      </c>
      <c r="J81" s="53" t="s">
        <v>209</v>
      </c>
      <c r="K81" s="35">
        <f>(D81+F81+H81+63)-300</f>
        <v>22</v>
      </c>
      <c r="L81" s="57">
        <f>K81/300</f>
        <v>7.3333333333333334E-2</v>
      </c>
      <c r="M81" s="21" t="s">
        <v>27</v>
      </c>
      <c r="N81" s="22">
        <f>63/44-1</f>
        <v>0.43181818181818188</v>
      </c>
      <c r="O81" s="290"/>
      <c r="P81" s="64" t="s">
        <v>176</v>
      </c>
      <c r="R81" s="228"/>
      <c r="X81" s="305"/>
    </row>
    <row r="82" spans="1:24" ht="77.099999999999994" customHeight="1" thickBot="1" x14ac:dyDescent="0.25">
      <c r="A82" s="48" t="s">
        <v>210</v>
      </c>
      <c r="B82" s="49" t="s">
        <v>211</v>
      </c>
      <c r="C82" s="50">
        <v>3</v>
      </c>
      <c r="D82" s="58">
        <v>8</v>
      </c>
      <c r="E82" s="50">
        <v>4</v>
      </c>
      <c r="F82" s="52">
        <v>7</v>
      </c>
      <c r="G82" s="51">
        <v>5</v>
      </c>
      <c r="H82" s="52">
        <v>9</v>
      </c>
      <c r="I82" s="52">
        <v>6</v>
      </c>
      <c r="J82" s="63">
        <v>25</v>
      </c>
      <c r="K82" s="35">
        <f>(D82+F82+H82+J82)-18</f>
        <v>31</v>
      </c>
      <c r="L82" s="57">
        <f>K82/18</f>
        <v>1.7222222222222223</v>
      </c>
      <c r="M82" s="21" t="s">
        <v>27</v>
      </c>
      <c r="N82" s="22">
        <f>J82/I82-1</f>
        <v>3.166666666666667</v>
      </c>
      <c r="O82" s="27"/>
      <c r="P82" s="273" t="s">
        <v>38</v>
      </c>
      <c r="R82" s="219" t="s">
        <v>613</v>
      </c>
      <c r="X82" s="305"/>
    </row>
    <row r="83" spans="1:24" ht="90.95" customHeight="1" thickBot="1" x14ac:dyDescent="0.25">
      <c r="A83" s="48" t="s">
        <v>212</v>
      </c>
      <c r="B83" s="49" t="s">
        <v>213</v>
      </c>
      <c r="C83" s="50">
        <v>4</v>
      </c>
      <c r="D83" s="58">
        <v>2</v>
      </c>
      <c r="E83" s="50">
        <v>2</v>
      </c>
      <c r="F83" s="52">
        <v>0</v>
      </c>
      <c r="G83" s="51">
        <v>2</v>
      </c>
      <c r="H83" s="52">
        <v>0</v>
      </c>
      <c r="I83" s="52">
        <v>3</v>
      </c>
      <c r="J83" s="53" t="s">
        <v>214</v>
      </c>
      <c r="K83" s="18">
        <f>(D83+F83+H83+3)-8</f>
        <v>-3</v>
      </c>
      <c r="L83" s="39">
        <f>K83/8</f>
        <v>-0.375</v>
      </c>
      <c r="M83" s="21" t="s">
        <v>27</v>
      </c>
      <c r="N83" s="21" t="s">
        <v>69</v>
      </c>
      <c r="O83" s="290"/>
      <c r="P83" s="273" t="s">
        <v>215</v>
      </c>
      <c r="R83" s="228"/>
      <c r="W83" s="294" t="s">
        <v>691</v>
      </c>
      <c r="X83" s="310" t="s">
        <v>783</v>
      </c>
    </row>
    <row r="84" spans="1:24" s="68" customFormat="1" ht="20.45" customHeight="1" x14ac:dyDescent="0.2">
      <c r="A84" s="65"/>
      <c r="B84" s="66"/>
      <c r="C84" s="66"/>
      <c r="D84" s="66"/>
      <c r="E84" s="66"/>
      <c r="F84" s="66"/>
      <c r="G84" s="66"/>
      <c r="H84" s="66"/>
      <c r="I84" s="66"/>
      <c r="J84" s="66"/>
      <c r="K84" s="67"/>
      <c r="L84" s="252"/>
      <c r="M84" s="67"/>
      <c r="N84" s="67"/>
      <c r="O84" s="272"/>
      <c r="P84" s="272"/>
      <c r="R84" s="227"/>
      <c r="U84" s="281"/>
      <c r="W84" s="296"/>
    </row>
    <row r="85" spans="1:24" s="68" customFormat="1" ht="20.45" customHeight="1" thickBot="1" x14ac:dyDescent="0.25">
      <c r="A85" s="352" t="s">
        <v>216</v>
      </c>
      <c r="B85" s="352"/>
      <c r="C85" s="352"/>
      <c r="D85" s="352"/>
      <c r="E85" s="352"/>
      <c r="F85" s="352"/>
      <c r="G85" s="352"/>
      <c r="H85" s="352"/>
      <c r="I85" s="352"/>
      <c r="J85" s="352"/>
      <c r="K85" s="352"/>
      <c r="L85" s="352"/>
      <c r="M85" s="352"/>
      <c r="N85" s="352"/>
      <c r="O85" s="352"/>
      <c r="P85" s="69"/>
      <c r="R85" s="227"/>
      <c r="U85" s="281"/>
      <c r="W85" s="296"/>
    </row>
    <row r="86" spans="1:24" s="68" customFormat="1" ht="20.45" customHeight="1" x14ac:dyDescent="0.2">
      <c r="A86" s="70" t="s">
        <v>217</v>
      </c>
      <c r="B86" s="66"/>
      <c r="C86" s="66"/>
      <c r="D86" s="66"/>
      <c r="E86" s="66"/>
      <c r="F86" s="66"/>
      <c r="G86" s="66"/>
      <c r="H86" s="66"/>
      <c r="I86" s="66"/>
      <c r="J86" s="66"/>
      <c r="K86" s="67"/>
      <c r="L86" s="252"/>
      <c r="M86" s="67"/>
      <c r="N86" s="67"/>
      <c r="O86" s="272"/>
      <c r="P86" s="272"/>
      <c r="R86" s="227"/>
      <c r="U86" s="281"/>
      <c r="W86" s="296"/>
    </row>
    <row r="87" spans="1:24" s="68" customFormat="1" ht="20.45" customHeight="1" x14ac:dyDescent="0.2">
      <c r="A87" s="70" t="s">
        <v>218</v>
      </c>
      <c r="B87" s="66"/>
      <c r="C87" s="66"/>
      <c r="D87" s="66"/>
      <c r="E87" s="66"/>
      <c r="F87" s="66"/>
      <c r="G87" s="66"/>
      <c r="H87" s="66"/>
      <c r="I87" s="66"/>
      <c r="J87" s="66"/>
      <c r="K87" s="67"/>
      <c r="L87" s="252"/>
      <c r="M87" s="67"/>
      <c r="N87" s="67"/>
      <c r="O87" s="272"/>
      <c r="P87" s="272"/>
      <c r="R87" s="227"/>
      <c r="U87" s="281"/>
      <c r="W87" s="296"/>
    </row>
    <row r="88" spans="1:24" s="68" customFormat="1" ht="20.45" customHeight="1" x14ac:dyDescent="0.2">
      <c r="A88" s="70" t="s">
        <v>219</v>
      </c>
      <c r="B88" s="66"/>
      <c r="C88" s="66"/>
      <c r="D88" s="66"/>
      <c r="E88" s="66"/>
      <c r="F88" s="66"/>
      <c r="G88" s="66"/>
      <c r="H88" s="66"/>
      <c r="I88" s="66"/>
      <c r="J88" s="66"/>
      <c r="K88" s="67"/>
      <c r="L88" s="252"/>
      <c r="M88" s="67"/>
      <c r="N88" s="67"/>
      <c r="O88" s="272"/>
      <c r="P88" s="272"/>
      <c r="R88" s="227"/>
      <c r="U88" s="281"/>
      <c r="W88" s="296"/>
    </row>
    <row r="89" spans="1:24" s="68" customFormat="1" ht="20.45" customHeight="1" x14ac:dyDescent="0.2">
      <c r="A89" s="70" t="s">
        <v>220</v>
      </c>
      <c r="B89" s="66"/>
      <c r="C89" s="66"/>
      <c r="D89" s="66"/>
      <c r="E89" s="66"/>
      <c r="F89" s="66"/>
      <c r="G89" s="66"/>
      <c r="H89" s="66"/>
      <c r="I89" s="66"/>
      <c r="J89" s="66"/>
      <c r="K89" s="67"/>
      <c r="L89" s="252"/>
      <c r="M89" s="67"/>
      <c r="N89" s="67"/>
      <c r="O89" s="272"/>
      <c r="P89" s="272"/>
      <c r="R89" s="227"/>
      <c r="U89" s="281"/>
      <c r="W89" s="296"/>
    </row>
    <row r="90" spans="1:24" s="68" customFormat="1" ht="20.45" customHeight="1" x14ac:dyDescent="0.2">
      <c r="A90" s="70" t="s">
        <v>221</v>
      </c>
      <c r="B90" s="66"/>
      <c r="C90" s="66"/>
      <c r="D90" s="66"/>
      <c r="E90" s="66"/>
      <c r="F90" s="66"/>
      <c r="G90" s="66"/>
      <c r="H90" s="66"/>
      <c r="I90" s="66"/>
      <c r="J90" s="66"/>
      <c r="K90" s="67"/>
      <c r="L90" s="252"/>
      <c r="M90" s="67"/>
      <c r="N90" s="67"/>
      <c r="O90" s="272"/>
      <c r="P90" s="272"/>
      <c r="R90" s="227"/>
      <c r="U90" s="281"/>
      <c r="W90" s="296"/>
    </row>
    <row r="91" spans="1:24" s="68" customFormat="1" ht="20.45" customHeight="1" x14ac:dyDescent="0.2">
      <c r="A91" s="352" t="s">
        <v>222</v>
      </c>
      <c r="B91" s="352"/>
      <c r="C91" s="352"/>
      <c r="D91" s="352"/>
      <c r="E91" s="352"/>
      <c r="F91" s="352"/>
      <c r="G91" s="352"/>
      <c r="H91" s="352"/>
      <c r="I91" s="352"/>
      <c r="J91" s="352"/>
      <c r="K91" s="352"/>
      <c r="L91" s="352"/>
      <c r="M91" s="352"/>
      <c r="N91" s="352"/>
      <c r="O91" s="352"/>
      <c r="P91" s="272"/>
      <c r="R91" s="227"/>
      <c r="U91" s="281"/>
      <c r="W91" s="296"/>
    </row>
    <row r="92" spans="1:24" s="68" customFormat="1" ht="20.45" customHeight="1" x14ac:dyDescent="0.2">
      <c r="A92" s="352" t="s">
        <v>223</v>
      </c>
      <c r="B92" s="352"/>
      <c r="C92" s="352"/>
      <c r="D92" s="352"/>
      <c r="E92" s="352"/>
      <c r="F92" s="352"/>
      <c r="G92" s="352"/>
      <c r="H92" s="352"/>
      <c r="I92" s="352"/>
      <c r="J92" s="352"/>
      <c r="K92" s="352"/>
      <c r="L92" s="352"/>
      <c r="M92" s="352"/>
      <c r="N92" s="352"/>
      <c r="O92" s="352"/>
      <c r="P92" s="272"/>
      <c r="R92" s="227"/>
      <c r="U92" s="281"/>
      <c r="W92" s="296"/>
    </row>
    <row r="93" spans="1:24" s="68" customFormat="1" ht="20.45" customHeight="1" x14ac:dyDescent="0.2">
      <c r="A93" s="70" t="s">
        <v>224</v>
      </c>
      <c r="B93" s="66"/>
      <c r="C93" s="66"/>
      <c r="D93" s="66"/>
      <c r="E93" s="66"/>
      <c r="F93" s="66"/>
      <c r="G93" s="66"/>
      <c r="H93" s="66"/>
      <c r="I93" s="66"/>
      <c r="J93" s="66"/>
      <c r="K93" s="67"/>
      <c r="L93" s="252"/>
      <c r="M93" s="67"/>
      <c r="N93" s="67"/>
      <c r="O93" s="272"/>
      <c r="P93" s="272"/>
      <c r="R93" s="227"/>
      <c r="U93" s="281"/>
      <c r="W93" s="296"/>
    </row>
    <row r="94" spans="1:24" s="68" customFormat="1" ht="20.45" customHeight="1" x14ac:dyDescent="0.2">
      <c r="A94" s="70" t="s">
        <v>225</v>
      </c>
      <c r="B94" s="66"/>
      <c r="C94" s="66"/>
      <c r="D94" s="66"/>
      <c r="E94" s="66"/>
      <c r="F94" s="66"/>
      <c r="G94" s="66"/>
      <c r="H94" s="66"/>
      <c r="I94" s="66"/>
      <c r="J94" s="66"/>
      <c r="K94" s="67"/>
      <c r="L94" s="252"/>
      <c r="M94" s="67"/>
      <c r="N94" s="67"/>
      <c r="O94" s="272"/>
      <c r="P94" s="272"/>
      <c r="R94" s="227"/>
      <c r="U94" s="281"/>
      <c r="W94" s="296"/>
    </row>
    <row r="95" spans="1:24" s="68" customFormat="1" ht="20.45" customHeight="1" x14ac:dyDescent="0.2">
      <c r="A95" s="70" t="s">
        <v>226</v>
      </c>
      <c r="B95" s="66"/>
      <c r="C95" s="66"/>
      <c r="D95" s="66"/>
      <c r="E95" s="66"/>
      <c r="F95" s="66"/>
      <c r="G95" s="66"/>
      <c r="H95" s="66"/>
      <c r="I95" s="66"/>
      <c r="J95" s="66"/>
      <c r="K95" s="67"/>
      <c r="L95" s="252"/>
      <c r="M95" s="67"/>
      <c r="N95" s="67"/>
      <c r="O95" s="272"/>
      <c r="P95" s="272"/>
      <c r="R95" s="227"/>
      <c r="U95" s="281"/>
      <c r="W95" s="296"/>
    </row>
    <row r="96" spans="1:24" s="68" customFormat="1" ht="20.45" customHeight="1" x14ac:dyDescent="0.2">
      <c r="A96" s="70" t="s">
        <v>227</v>
      </c>
      <c r="B96" s="66"/>
      <c r="C96" s="66"/>
      <c r="D96" s="66"/>
      <c r="E96" s="66"/>
      <c r="F96" s="66"/>
      <c r="G96" s="66"/>
      <c r="H96" s="66"/>
      <c r="I96" s="66"/>
      <c r="J96" s="66"/>
      <c r="K96" s="67"/>
      <c r="L96" s="252"/>
      <c r="M96" s="67"/>
      <c r="N96" s="67"/>
      <c r="O96" s="272"/>
      <c r="P96" s="272"/>
      <c r="R96" s="227"/>
      <c r="U96" s="281"/>
      <c r="W96" s="296"/>
    </row>
    <row r="97" spans="1:24" s="68" customFormat="1" ht="20.45" customHeight="1" x14ac:dyDescent="0.2">
      <c r="A97" s="70" t="s">
        <v>228</v>
      </c>
      <c r="B97" s="66"/>
      <c r="C97" s="66"/>
      <c r="D97" s="66"/>
      <c r="E97" s="66"/>
      <c r="F97" s="66"/>
      <c r="G97" s="66"/>
      <c r="H97" s="66"/>
      <c r="I97" s="66"/>
      <c r="J97" s="66"/>
      <c r="K97" s="67"/>
      <c r="L97" s="252"/>
      <c r="M97" s="67"/>
      <c r="N97" s="67"/>
      <c r="O97" s="272"/>
      <c r="P97" s="272"/>
      <c r="R97" s="227"/>
      <c r="U97" s="281"/>
      <c r="W97" s="296"/>
    </row>
    <row r="98" spans="1:24" s="68" customFormat="1" ht="20.45" customHeight="1" x14ac:dyDescent="0.2">
      <c r="A98" s="70" t="s">
        <v>229</v>
      </c>
      <c r="B98" s="66"/>
      <c r="C98" s="66"/>
      <c r="D98" s="66"/>
      <c r="E98" s="66"/>
      <c r="F98" s="66"/>
      <c r="G98" s="66"/>
      <c r="H98" s="66"/>
      <c r="I98" s="66"/>
      <c r="J98" s="66"/>
      <c r="K98" s="67"/>
      <c r="L98" s="252"/>
      <c r="M98" s="67"/>
      <c r="N98" s="67"/>
      <c r="O98" s="272"/>
      <c r="P98" s="272"/>
      <c r="R98" s="227"/>
      <c r="U98" s="281"/>
      <c r="W98" s="296"/>
    </row>
    <row r="99" spans="1:24" s="68" customFormat="1" ht="20.45" customHeight="1" x14ac:dyDescent="0.2">
      <c r="A99" s="70" t="s">
        <v>230</v>
      </c>
      <c r="B99" s="66"/>
      <c r="C99" s="66"/>
      <c r="D99" s="66"/>
      <c r="E99" s="66"/>
      <c r="F99" s="66"/>
      <c r="G99" s="66"/>
      <c r="H99" s="66"/>
      <c r="I99" s="66"/>
      <c r="J99" s="66"/>
      <c r="K99" s="67"/>
      <c r="L99" s="252"/>
      <c r="M99" s="67"/>
      <c r="N99" s="67"/>
      <c r="O99" s="272"/>
      <c r="P99" s="272"/>
      <c r="R99" s="227"/>
      <c r="U99" s="281"/>
      <c r="W99" s="296"/>
    </row>
    <row r="100" spans="1:24" s="68" customFormat="1" ht="20.45" customHeight="1" x14ac:dyDescent="0.2">
      <c r="A100" s="70" t="s">
        <v>231</v>
      </c>
      <c r="B100" s="66"/>
      <c r="C100" s="66"/>
      <c r="D100" s="66"/>
      <c r="E100" s="66"/>
      <c r="F100" s="66"/>
      <c r="G100" s="66"/>
      <c r="H100" s="66"/>
      <c r="I100" s="66"/>
      <c r="J100" s="66"/>
      <c r="K100" s="67"/>
      <c r="L100" s="252"/>
      <c r="M100" s="67"/>
      <c r="N100" s="67"/>
      <c r="O100" s="272"/>
      <c r="P100" s="272"/>
      <c r="R100" s="227"/>
      <c r="U100" s="281"/>
      <c r="W100" s="296"/>
    </row>
    <row r="101" spans="1:24" s="68" customFormat="1" ht="20.45" customHeight="1" x14ac:dyDescent="0.2">
      <c r="A101" s="70" t="s">
        <v>232</v>
      </c>
      <c r="B101" s="66"/>
      <c r="C101" s="66"/>
      <c r="D101" s="66"/>
      <c r="E101" s="66"/>
      <c r="F101" s="66"/>
      <c r="G101" s="66"/>
      <c r="H101" s="66"/>
      <c r="I101" s="66"/>
      <c r="J101" s="66"/>
      <c r="K101" s="67"/>
      <c r="L101" s="252"/>
      <c r="M101" s="67"/>
      <c r="N101" s="67"/>
      <c r="O101" s="272"/>
      <c r="P101" s="272"/>
      <c r="R101" s="227"/>
      <c r="U101" s="281"/>
      <c r="W101" s="296"/>
    </row>
    <row r="102" spans="1:24" s="68" customFormat="1" ht="20.45" customHeight="1" x14ac:dyDescent="0.2">
      <c r="A102" s="352" t="s">
        <v>233</v>
      </c>
      <c r="B102" s="352"/>
      <c r="C102" s="352"/>
      <c r="D102" s="352"/>
      <c r="E102" s="352"/>
      <c r="F102" s="352"/>
      <c r="G102" s="352"/>
      <c r="H102" s="352"/>
      <c r="I102" s="352"/>
      <c r="J102" s="352"/>
      <c r="K102" s="352"/>
      <c r="L102" s="352"/>
      <c r="M102" s="352"/>
      <c r="N102" s="352"/>
      <c r="O102" s="352"/>
      <c r="P102" s="272"/>
      <c r="R102" s="227"/>
      <c r="U102" s="281"/>
      <c r="W102" s="296"/>
    </row>
    <row r="103" spans="1:24" s="68" customFormat="1" ht="20.45" customHeight="1" x14ac:dyDescent="0.2">
      <c r="A103" s="70" t="s">
        <v>234</v>
      </c>
      <c r="B103" s="66"/>
      <c r="C103" s="66"/>
      <c r="D103" s="66"/>
      <c r="E103" s="66"/>
      <c r="F103" s="66"/>
      <c r="G103" s="66"/>
      <c r="H103" s="66"/>
      <c r="I103" s="66"/>
      <c r="J103" s="66"/>
      <c r="K103" s="67"/>
      <c r="L103" s="252"/>
      <c r="M103" s="67"/>
      <c r="N103" s="67"/>
      <c r="O103" s="272"/>
      <c r="P103" s="272"/>
      <c r="R103" s="227"/>
      <c r="U103" s="281"/>
      <c r="W103" s="296"/>
    </row>
    <row r="104" spans="1:24" s="68" customFormat="1" ht="20.45" customHeight="1" x14ac:dyDescent="0.2">
      <c r="A104" s="70" t="s">
        <v>235</v>
      </c>
      <c r="B104" s="66"/>
      <c r="C104" s="66"/>
      <c r="D104" s="66"/>
      <c r="E104" s="66"/>
      <c r="F104" s="66"/>
      <c r="G104" s="66"/>
      <c r="H104" s="66"/>
      <c r="I104" s="66"/>
      <c r="J104" s="66"/>
      <c r="K104" s="67"/>
      <c r="L104" s="252"/>
      <c r="M104" s="67"/>
      <c r="N104" s="67"/>
      <c r="O104" s="272"/>
      <c r="P104" s="272"/>
      <c r="R104" s="227"/>
      <c r="U104" s="281"/>
      <c r="W104" s="296"/>
    </row>
    <row r="105" spans="1:24" s="68" customFormat="1" ht="20.45" customHeight="1" x14ac:dyDescent="0.2">
      <c r="A105" s="323" t="s">
        <v>0</v>
      </c>
      <c r="B105" s="323"/>
      <c r="C105" s="323"/>
      <c r="D105" s="323"/>
      <c r="E105" s="323"/>
      <c r="F105" s="323"/>
      <c r="G105" s="323"/>
      <c r="H105" s="323"/>
      <c r="I105" s="323"/>
      <c r="J105" s="323"/>
      <c r="K105" s="323"/>
      <c r="L105" s="323"/>
      <c r="M105" s="323"/>
      <c r="N105" s="323"/>
      <c r="O105" s="323"/>
      <c r="P105" s="323"/>
      <c r="R105" s="227"/>
      <c r="U105" s="281"/>
      <c r="W105" s="296"/>
    </row>
    <row r="106" spans="1:24" ht="50.45" customHeight="1" thickBot="1" x14ac:dyDescent="0.25">
      <c r="A106" s="323" t="s">
        <v>236</v>
      </c>
      <c r="B106" s="323"/>
      <c r="C106" s="323"/>
      <c r="D106" s="323"/>
      <c r="E106" s="323"/>
      <c r="F106" s="323"/>
      <c r="G106" s="323"/>
      <c r="H106" s="323"/>
      <c r="I106" s="323"/>
      <c r="J106" s="323"/>
      <c r="K106" s="323"/>
      <c r="L106" s="323"/>
      <c r="M106" s="323"/>
      <c r="N106" s="47"/>
    </row>
    <row r="107" spans="1:24" ht="27.6" customHeight="1" thickBot="1" x14ac:dyDescent="0.25">
      <c r="A107" s="324" t="s">
        <v>2</v>
      </c>
      <c r="B107" s="325"/>
      <c r="C107" s="325"/>
      <c r="D107" s="325"/>
      <c r="E107" s="325"/>
      <c r="F107" s="325"/>
      <c r="G107" s="325"/>
      <c r="H107" s="325"/>
      <c r="I107" s="325"/>
      <c r="J107" s="326"/>
      <c r="K107" s="327" t="s">
        <v>3</v>
      </c>
      <c r="L107" s="328"/>
      <c r="M107" s="328"/>
      <c r="N107" s="328"/>
      <c r="O107" s="328"/>
      <c r="P107" s="328"/>
      <c r="R107" s="266" t="s">
        <v>654</v>
      </c>
      <c r="U107" s="278"/>
      <c r="W107" s="382" t="s">
        <v>679</v>
      </c>
      <c r="X107" s="386" t="s">
        <v>748</v>
      </c>
    </row>
    <row r="108" spans="1:24" ht="28.5" customHeight="1" thickBot="1" x14ac:dyDescent="0.25">
      <c r="A108" s="335" t="s">
        <v>4</v>
      </c>
      <c r="B108" s="71" t="s">
        <v>5</v>
      </c>
      <c r="C108" s="336" t="s">
        <v>6</v>
      </c>
      <c r="D108" s="337"/>
      <c r="E108" s="336" t="s">
        <v>6</v>
      </c>
      <c r="F108" s="337"/>
      <c r="G108" s="336" t="s">
        <v>6</v>
      </c>
      <c r="H108" s="337"/>
      <c r="I108" s="336" t="s">
        <v>6</v>
      </c>
      <c r="J108" s="337"/>
      <c r="K108" s="314" t="s">
        <v>7</v>
      </c>
      <c r="L108" s="322"/>
      <c r="M108" s="314" t="s">
        <v>8</v>
      </c>
      <c r="N108" s="315"/>
      <c r="O108" s="316" t="s">
        <v>9</v>
      </c>
      <c r="P108" s="329" t="s">
        <v>10</v>
      </c>
      <c r="R108" s="379" t="s">
        <v>607</v>
      </c>
      <c r="U108" s="279"/>
      <c r="W108" s="382"/>
      <c r="X108" s="386"/>
    </row>
    <row r="109" spans="1:24" ht="28.5" customHeight="1" thickBot="1" x14ac:dyDescent="0.25">
      <c r="A109" s="331"/>
      <c r="B109" s="331" t="s">
        <v>11</v>
      </c>
      <c r="C109" s="333" t="s">
        <v>12</v>
      </c>
      <c r="D109" s="334"/>
      <c r="E109" s="333" t="s">
        <v>13</v>
      </c>
      <c r="F109" s="334"/>
      <c r="G109" s="333" t="s">
        <v>14</v>
      </c>
      <c r="H109" s="334"/>
      <c r="I109" s="333" t="s">
        <v>15</v>
      </c>
      <c r="J109" s="334"/>
      <c r="K109" s="314" t="s">
        <v>16</v>
      </c>
      <c r="L109" s="322"/>
      <c r="M109" s="314" t="s">
        <v>17</v>
      </c>
      <c r="N109" s="322"/>
      <c r="O109" s="317"/>
      <c r="P109" s="330"/>
      <c r="R109" s="379"/>
      <c r="U109" s="279"/>
      <c r="W109" s="382"/>
      <c r="X109" s="386"/>
    </row>
    <row r="110" spans="1:24" ht="28.5" customHeight="1" thickBot="1" x14ac:dyDescent="0.25">
      <c r="A110" s="332"/>
      <c r="B110" s="332"/>
      <c r="C110" s="72" t="s">
        <v>18</v>
      </c>
      <c r="D110" s="72" t="s">
        <v>19</v>
      </c>
      <c r="E110" s="72" t="s">
        <v>18</v>
      </c>
      <c r="F110" s="72" t="s">
        <v>19</v>
      </c>
      <c r="G110" s="72" t="s">
        <v>18</v>
      </c>
      <c r="H110" s="72" t="s">
        <v>19</v>
      </c>
      <c r="I110" s="72" t="s">
        <v>18</v>
      </c>
      <c r="J110" s="72" t="s">
        <v>19</v>
      </c>
      <c r="K110" s="5" t="s">
        <v>20</v>
      </c>
      <c r="L110" s="248" t="s">
        <v>21</v>
      </c>
      <c r="M110" s="6" t="s">
        <v>22</v>
      </c>
      <c r="N110" s="7" t="s">
        <v>23</v>
      </c>
      <c r="O110" s="318"/>
      <c r="P110" s="318"/>
      <c r="R110" s="380"/>
      <c r="U110" s="279"/>
      <c r="W110" s="382"/>
      <c r="X110" s="386"/>
    </row>
    <row r="111" spans="1:24" ht="71.099999999999994" customHeight="1" thickBot="1" x14ac:dyDescent="0.25">
      <c r="A111" s="73" t="s">
        <v>237</v>
      </c>
      <c r="B111" s="74" t="s">
        <v>238</v>
      </c>
      <c r="C111" s="51">
        <v>10</v>
      </c>
      <c r="D111" s="51">
        <v>2</v>
      </c>
      <c r="E111" s="51">
        <v>15</v>
      </c>
      <c r="F111" s="51">
        <v>5</v>
      </c>
      <c r="G111" s="51">
        <v>15</v>
      </c>
      <c r="H111" s="51">
        <v>42</v>
      </c>
      <c r="I111" s="51">
        <v>15</v>
      </c>
      <c r="J111" s="63">
        <v>8</v>
      </c>
      <c r="K111" s="35">
        <f>(D111+F111+H111+J111)-45</f>
        <v>12</v>
      </c>
      <c r="L111" s="57">
        <f>K111/45</f>
        <v>0.26666666666666666</v>
      </c>
      <c r="M111" s="20" t="s">
        <v>31</v>
      </c>
      <c r="N111" s="16">
        <f>J111/I111-1</f>
        <v>-0.46666666666666667</v>
      </c>
      <c r="O111" s="290"/>
      <c r="P111" s="75" t="s">
        <v>239</v>
      </c>
      <c r="R111" s="228"/>
      <c r="W111" s="294" t="s">
        <v>692</v>
      </c>
      <c r="X111" s="309" t="s">
        <v>786</v>
      </c>
    </row>
    <row r="112" spans="1:24" ht="93.95" customHeight="1" thickBot="1" x14ac:dyDescent="0.25">
      <c r="A112" s="76" t="s">
        <v>240</v>
      </c>
      <c r="B112" s="74" t="s">
        <v>241</v>
      </c>
      <c r="C112" s="51">
        <v>20</v>
      </c>
      <c r="D112" s="51">
        <v>4</v>
      </c>
      <c r="E112" s="51">
        <v>20</v>
      </c>
      <c r="F112" s="51">
        <v>2</v>
      </c>
      <c r="G112" s="51">
        <v>10</v>
      </c>
      <c r="H112" s="51">
        <v>0</v>
      </c>
      <c r="I112" s="51">
        <v>10</v>
      </c>
      <c r="J112" s="53" t="s">
        <v>242</v>
      </c>
      <c r="K112" s="18">
        <f>(D112+F112+H112+0)-26</f>
        <v>-20</v>
      </c>
      <c r="L112" s="39">
        <f>K112/26</f>
        <v>-0.76923076923076927</v>
      </c>
      <c r="M112" s="20" t="s">
        <v>92</v>
      </c>
      <c r="N112" s="19">
        <f>0/10-1</f>
        <v>-1</v>
      </c>
      <c r="O112" s="290"/>
      <c r="P112" s="276" t="s">
        <v>243</v>
      </c>
      <c r="R112" s="232" t="s">
        <v>615</v>
      </c>
      <c r="W112" s="294" t="s">
        <v>693</v>
      </c>
      <c r="X112" s="309" t="s">
        <v>786</v>
      </c>
    </row>
    <row r="113" spans="1:24" ht="71.099999999999994" customHeight="1" thickBot="1" x14ac:dyDescent="0.25">
      <c r="A113" s="48" t="s">
        <v>244</v>
      </c>
      <c r="B113" s="49" t="s">
        <v>245</v>
      </c>
      <c r="C113" s="54">
        <v>330000</v>
      </c>
      <c r="D113" s="50">
        <v>0</v>
      </c>
      <c r="E113" s="55">
        <v>330000</v>
      </c>
      <c r="F113" s="55">
        <v>198589</v>
      </c>
      <c r="G113" s="56">
        <v>330000</v>
      </c>
      <c r="H113" s="56">
        <v>310350</v>
      </c>
      <c r="I113" s="56">
        <v>330000</v>
      </c>
      <c r="J113" s="53" t="s">
        <v>647</v>
      </c>
      <c r="K113" s="35">
        <f>335072-330000</f>
        <v>5072</v>
      </c>
      <c r="L113" s="57">
        <f>K113/330000</f>
        <v>1.5369696969696969E-2</v>
      </c>
      <c r="M113" s="21" t="s">
        <v>27</v>
      </c>
      <c r="N113" s="57">
        <f>335072/I113-1</f>
        <v>1.5369696969697033E-2</v>
      </c>
      <c r="O113" s="290"/>
      <c r="P113" s="276" t="s">
        <v>246</v>
      </c>
      <c r="R113" s="232" t="s">
        <v>616</v>
      </c>
      <c r="X113" s="305"/>
    </row>
    <row r="114" spans="1:24" ht="23.45" customHeight="1" x14ac:dyDescent="0.2">
      <c r="A114" s="77"/>
      <c r="B114" s="78"/>
      <c r="C114" s="79"/>
      <c r="D114" s="80"/>
      <c r="E114" s="81"/>
      <c r="F114" s="81"/>
      <c r="G114" s="82"/>
      <c r="H114" s="82"/>
      <c r="I114" s="82"/>
      <c r="J114" s="83"/>
      <c r="K114" s="84"/>
      <c r="L114" s="253"/>
    </row>
    <row r="115" spans="1:24" ht="27.6" customHeight="1" x14ac:dyDescent="0.2">
      <c r="A115" s="313" t="s">
        <v>247</v>
      </c>
      <c r="B115" s="313"/>
      <c r="C115" s="313"/>
      <c r="D115" s="313"/>
      <c r="E115" s="313"/>
      <c r="F115" s="313"/>
      <c r="G115" s="313"/>
      <c r="H115" s="313"/>
      <c r="I115" s="313"/>
      <c r="J115" s="313"/>
      <c r="K115" s="313"/>
      <c r="L115" s="313"/>
      <c r="M115" s="313"/>
      <c r="N115" s="85"/>
    </row>
    <row r="116" spans="1:24" ht="50.45" customHeight="1" x14ac:dyDescent="0.2">
      <c r="A116" s="313" t="s">
        <v>248</v>
      </c>
      <c r="B116" s="313"/>
      <c r="C116" s="313"/>
      <c r="D116" s="313"/>
      <c r="E116" s="313"/>
      <c r="F116" s="313"/>
      <c r="G116" s="313"/>
      <c r="H116" s="313"/>
      <c r="I116" s="313"/>
      <c r="J116" s="313"/>
      <c r="K116" s="313"/>
      <c r="L116" s="313"/>
      <c r="M116" s="313"/>
      <c r="N116" s="85"/>
    </row>
    <row r="117" spans="1:24" ht="37.5" customHeight="1" x14ac:dyDescent="0.2">
      <c r="A117" s="313" t="s">
        <v>249</v>
      </c>
      <c r="B117" s="313"/>
      <c r="C117" s="313"/>
      <c r="D117" s="313"/>
      <c r="E117" s="313"/>
      <c r="F117" s="313"/>
      <c r="G117" s="313"/>
      <c r="H117" s="313"/>
      <c r="I117" s="313"/>
      <c r="J117" s="313"/>
      <c r="K117" s="313"/>
      <c r="L117" s="313"/>
      <c r="M117" s="313"/>
      <c r="N117" s="85"/>
    </row>
    <row r="118" spans="1:24" ht="23.1" customHeight="1" x14ac:dyDescent="0.2">
      <c r="A118" s="323" t="s">
        <v>0</v>
      </c>
      <c r="B118" s="323"/>
      <c r="C118" s="323"/>
      <c r="D118" s="323"/>
      <c r="E118" s="323"/>
      <c r="F118" s="323"/>
      <c r="G118" s="323"/>
      <c r="H118" s="323"/>
      <c r="I118" s="323"/>
      <c r="J118" s="323"/>
      <c r="K118" s="323"/>
      <c r="L118" s="323"/>
      <c r="M118" s="323"/>
      <c r="N118" s="323"/>
      <c r="O118" s="323"/>
      <c r="P118" s="323"/>
    </row>
    <row r="119" spans="1:24" ht="50.45" customHeight="1" thickBot="1" x14ac:dyDescent="0.25">
      <c r="A119" s="323" t="s">
        <v>250</v>
      </c>
      <c r="B119" s="323"/>
      <c r="C119" s="323"/>
      <c r="D119" s="323"/>
      <c r="E119" s="323"/>
      <c r="F119" s="323"/>
      <c r="G119" s="323"/>
      <c r="H119" s="323"/>
      <c r="I119" s="323"/>
      <c r="J119" s="323"/>
      <c r="K119" s="323"/>
      <c r="L119" s="323"/>
      <c r="M119" s="323"/>
      <c r="N119" s="47"/>
    </row>
    <row r="120" spans="1:24" ht="24.95" customHeight="1" thickBot="1" x14ac:dyDescent="0.25">
      <c r="A120" s="324" t="s">
        <v>2</v>
      </c>
      <c r="B120" s="325"/>
      <c r="C120" s="325"/>
      <c r="D120" s="325"/>
      <c r="E120" s="325"/>
      <c r="F120" s="325"/>
      <c r="G120" s="325"/>
      <c r="H120" s="325"/>
      <c r="I120" s="325"/>
      <c r="J120" s="326"/>
      <c r="K120" s="327" t="s">
        <v>3</v>
      </c>
      <c r="L120" s="328"/>
      <c r="M120" s="328"/>
      <c r="N120" s="328"/>
      <c r="O120" s="328"/>
      <c r="P120" s="328"/>
      <c r="Q120" s="86"/>
      <c r="R120" s="266" t="s">
        <v>654</v>
      </c>
      <c r="U120" s="278"/>
      <c r="W120" s="382" t="s">
        <v>679</v>
      </c>
      <c r="X120" s="393" t="s">
        <v>748</v>
      </c>
    </row>
    <row r="121" spans="1:24" ht="29.45" customHeight="1" thickBot="1" x14ac:dyDescent="0.25">
      <c r="A121" s="335" t="s">
        <v>4</v>
      </c>
      <c r="B121" s="71" t="s">
        <v>5</v>
      </c>
      <c r="C121" s="336" t="s">
        <v>6</v>
      </c>
      <c r="D121" s="337"/>
      <c r="E121" s="336" t="s">
        <v>6</v>
      </c>
      <c r="F121" s="337"/>
      <c r="G121" s="336" t="s">
        <v>6</v>
      </c>
      <c r="H121" s="337"/>
      <c r="I121" s="336" t="s">
        <v>6</v>
      </c>
      <c r="J121" s="337"/>
      <c r="K121" s="314" t="s">
        <v>7</v>
      </c>
      <c r="L121" s="322"/>
      <c r="M121" s="314" t="s">
        <v>8</v>
      </c>
      <c r="N121" s="315"/>
      <c r="O121" s="316" t="s">
        <v>9</v>
      </c>
      <c r="P121" s="329" t="s">
        <v>10</v>
      </c>
      <c r="R121" s="379" t="s">
        <v>607</v>
      </c>
      <c r="U121" s="279"/>
      <c r="W121" s="382"/>
      <c r="X121" s="393"/>
    </row>
    <row r="122" spans="1:24" ht="29.45" customHeight="1" thickBot="1" x14ac:dyDescent="0.25">
      <c r="A122" s="331"/>
      <c r="B122" s="331" t="s">
        <v>11</v>
      </c>
      <c r="C122" s="333" t="s">
        <v>12</v>
      </c>
      <c r="D122" s="334"/>
      <c r="E122" s="333" t="s">
        <v>13</v>
      </c>
      <c r="F122" s="334"/>
      <c r="G122" s="333" t="s">
        <v>14</v>
      </c>
      <c r="H122" s="334"/>
      <c r="I122" s="333" t="s">
        <v>15</v>
      </c>
      <c r="J122" s="334"/>
      <c r="K122" s="314" t="s">
        <v>16</v>
      </c>
      <c r="L122" s="322"/>
      <c r="M122" s="314" t="s">
        <v>17</v>
      </c>
      <c r="N122" s="322"/>
      <c r="O122" s="317"/>
      <c r="P122" s="330"/>
      <c r="R122" s="379"/>
      <c r="U122" s="279"/>
      <c r="W122" s="382"/>
      <c r="X122" s="393"/>
    </row>
    <row r="123" spans="1:24" ht="29.45" customHeight="1" thickBot="1" x14ac:dyDescent="0.25">
      <c r="A123" s="332"/>
      <c r="B123" s="332"/>
      <c r="C123" s="72" t="s">
        <v>18</v>
      </c>
      <c r="D123" s="87" t="s">
        <v>19</v>
      </c>
      <c r="E123" s="72" t="s">
        <v>18</v>
      </c>
      <c r="F123" s="72" t="s">
        <v>19</v>
      </c>
      <c r="G123" s="72" t="s">
        <v>18</v>
      </c>
      <c r="H123" s="72" t="s">
        <v>19</v>
      </c>
      <c r="I123" s="72" t="s">
        <v>18</v>
      </c>
      <c r="J123" s="72" t="s">
        <v>19</v>
      </c>
      <c r="K123" s="5" t="s">
        <v>20</v>
      </c>
      <c r="L123" s="248" t="s">
        <v>21</v>
      </c>
      <c r="M123" s="6" t="s">
        <v>22</v>
      </c>
      <c r="N123" s="7" t="s">
        <v>23</v>
      </c>
      <c r="O123" s="318"/>
      <c r="P123" s="318"/>
      <c r="R123" s="380"/>
      <c r="U123" s="279"/>
      <c r="W123" s="382"/>
      <c r="X123" s="393"/>
    </row>
    <row r="124" spans="1:24" ht="50.45" customHeight="1" thickBot="1" x14ac:dyDescent="0.25">
      <c r="A124" s="88" t="s">
        <v>251</v>
      </c>
      <c r="B124" s="89" t="s">
        <v>252</v>
      </c>
      <c r="C124" s="90">
        <v>0.625</v>
      </c>
      <c r="D124" s="90">
        <v>0.50519999999999998</v>
      </c>
      <c r="E124" s="90">
        <v>0.65</v>
      </c>
      <c r="F124" s="91">
        <v>0.43480000000000002</v>
      </c>
      <c r="G124" s="91">
        <v>0.67500000000000004</v>
      </c>
      <c r="H124" s="58">
        <v>53.38</v>
      </c>
      <c r="I124" s="92">
        <v>0.42</v>
      </c>
      <c r="J124" s="93" t="s">
        <v>253</v>
      </c>
      <c r="K124" s="94" t="s">
        <v>254</v>
      </c>
      <c r="L124" s="254"/>
      <c r="M124" s="20" t="s">
        <v>31</v>
      </c>
      <c r="N124" s="95" t="s">
        <v>255</v>
      </c>
      <c r="O124" s="290"/>
      <c r="P124" s="96" t="s">
        <v>256</v>
      </c>
      <c r="R124" s="228"/>
      <c r="W124" s="294" t="s">
        <v>694</v>
      </c>
      <c r="X124" s="310" t="s">
        <v>784</v>
      </c>
    </row>
    <row r="125" spans="1:24" ht="50.45" customHeight="1" thickBot="1" x14ac:dyDescent="0.25">
      <c r="A125" s="48" t="s">
        <v>257</v>
      </c>
      <c r="B125" s="49" t="s">
        <v>258</v>
      </c>
      <c r="C125" s="97">
        <v>1</v>
      </c>
      <c r="D125" s="98">
        <v>1</v>
      </c>
      <c r="E125" s="97">
        <v>1</v>
      </c>
      <c r="F125" s="91">
        <v>0.93179999999999996</v>
      </c>
      <c r="G125" s="92">
        <v>1</v>
      </c>
      <c r="H125" s="92">
        <v>1</v>
      </c>
      <c r="I125" s="92">
        <v>1</v>
      </c>
      <c r="J125" s="93" t="s">
        <v>259</v>
      </c>
      <c r="K125" s="99" t="s">
        <v>260</v>
      </c>
      <c r="L125" s="254"/>
      <c r="M125" s="20" t="s">
        <v>31</v>
      </c>
      <c r="N125" s="95" t="s">
        <v>261</v>
      </c>
      <c r="O125" s="290"/>
      <c r="P125" s="100" t="s">
        <v>256</v>
      </c>
      <c r="R125" s="228"/>
      <c r="W125" s="295" t="s">
        <v>695</v>
      </c>
      <c r="X125" s="310" t="s">
        <v>752</v>
      </c>
    </row>
    <row r="126" spans="1:24" ht="50.45" customHeight="1" thickBot="1" x14ac:dyDescent="0.25">
      <c r="A126" s="48" t="s">
        <v>262</v>
      </c>
      <c r="B126" s="49" t="s">
        <v>263</v>
      </c>
      <c r="C126" s="98">
        <v>0.73</v>
      </c>
      <c r="D126" s="90">
        <v>0.67100000000000004</v>
      </c>
      <c r="E126" s="97">
        <v>0.74</v>
      </c>
      <c r="F126" s="97">
        <v>0.67</v>
      </c>
      <c r="G126" s="101">
        <v>0.75</v>
      </c>
      <c r="H126" s="102">
        <v>0.68700000000000006</v>
      </c>
      <c r="I126" s="97">
        <v>0.76</v>
      </c>
      <c r="J126" s="53" t="s">
        <v>264</v>
      </c>
      <c r="K126" s="99" t="s">
        <v>265</v>
      </c>
      <c r="L126" s="254"/>
      <c r="M126" s="20" t="s">
        <v>31</v>
      </c>
      <c r="N126" s="95" t="s">
        <v>266</v>
      </c>
      <c r="O126" s="290"/>
      <c r="P126" s="100" t="s">
        <v>267</v>
      </c>
      <c r="R126" s="228"/>
      <c r="W126" s="294" t="s">
        <v>696</v>
      </c>
      <c r="X126" s="310" t="s">
        <v>753</v>
      </c>
    </row>
    <row r="127" spans="1:24" ht="50.45" customHeight="1" thickBot="1" x14ac:dyDescent="0.25">
      <c r="A127" s="48" t="s">
        <v>268</v>
      </c>
      <c r="B127" s="49" t="s">
        <v>269</v>
      </c>
      <c r="C127" s="98">
        <v>0.79</v>
      </c>
      <c r="D127" s="103">
        <v>0.77600000000000002</v>
      </c>
      <c r="E127" s="97">
        <v>0.8</v>
      </c>
      <c r="F127" s="103">
        <v>0.78900000000000003</v>
      </c>
      <c r="G127" s="101">
        <v>0.8</v>
      </c>
      <c r="H127" s="104" t="s">
        <v>270</v>
      </c>
      <c r="I127" s="97">
        <v>0.8</v>
      </c>
      <c r="J127" s="105">
        <v>0.80500000000000005</v>
      </c>
      <c r="K127" s="99" t="s">
        <v>271</v>
      </c>
      <c r="L127" s="254"/>
      <c r="M127" s="20" t="s">
        <v>31</v>
      </c>
      <c r="N127" s="34" t="s">
        <v>52</v>
      </c>
      <c r="O127" s="290"/>
      <c r="P127" s="100" t="s">
        <v>272</v>
      </c>
      <c r="R127" s="228"/>
      <c r="W127" s="294" t="s">
        <v>697</v>
      </c>
      <c r="X127" s="310" t="s">
        <v>754</v>
      </c>
    </row>
    <row r="128" spans="1:24" ht="81.599999999999994" customHeight="1" thickBot="1" x14ac:dyDescent="0.25">
      <c r="A128" s="106" t="s">
        <v>273</v>
      </c>
      <c r="B128" s="107" t="s">
        <v>274</v>
      </c>
      <c r="C128" s="108">
        <v>0.89</v>
      </c>
      <c r="D128" s="109">
        <v>0.91500000000000004</v>
      </c>
      <c r="E128" s="110">
        <v>0.89200000000000002</v>
      </c>
      <c r="F128" s="111">
        <v>0.91900000000000004</v>
      </c>
      <c r="G128" s="112">
        <v>0.93</v>
      </c>
      <c r="H128" s="112">
        <v>0.93</v>
      </c>
      <c r="I128" s="112">
        <v>0.95</v>
      </c>
      <c r="J128" s="113">
        <v>0.94</v>
      </c>
      <c r="K128" s="114" t="s">
        <v>275</v>
      </c>
      <c r="L128" s="249"/>
      <c r="M128" s="21" t="s">
        <v>27</v>
      </c>
      <c r="N128" s="95" t="s">
        <v>276</v>
      </c>
      <c r="O128" s="290"/>
      <c r="P128" s="115" t="s">
        <v>277</v>
      </c>
      <c r="Q128" s="116"/>
      <c r="R128" s="231"/>
      <c r="W128" s="295" t="s">
        <v>698</v>
      </c>
      <c r="X128" s="310" t="s">
        <v>773</v>
      </c>
    </row>
    <row r="129" spans="1:24" ht="54.95" customHeight="1" thickBot="1" x14ac:dyDescent="0.25">
      <c r="A129" s="48" t="s">
        <v>278</v>
      </c>
      <c r="B129" s="49" t="s">
        <v>279</v>
      </c>
      <c r="C129" s="98">
        <v>0.67</v>
      </c>
      <c r="D129" s="103">
        <v>0.80400000000000005</v>
      </c>
      <c r="E129" s="97">
        <v>0.71</v>
      </c>
      <c r="F129" s="117">
        <v>0.81399999999999995</v>
      </c>
      <c r="G129" s="91">
        <v>0.755</v>
      </c>
      <c r="H129" s="91">
        <v>0.82499999999999996</v>
      </c>
      <c r="I129" s="92">
        <v>0.8</v>
      </c>
      <c r="J129" s="93" t="s">
        <v>280</v>
      </c>
      <c r="K129" s="99" t="s">
        <v>281</v>
      </c>
      <c r="L129" s="254"/>
      <c r="M129" s="20" t="s">
        <v>31</v>
      </c>
      <c r="N129" s="95" t="s">
        <v>282</v>
      </c>
      <c r="O129" s="290"/>
      <c r="P129" s="100" t="s">
        <v>283</v>
      </c>
      <c r="R129" s="228"/>
      <c r="W129" s="294" t="s">
        <v>699</v>
      </c>
      <c r="X129" s="310" t="s">
        <v>767</v>
      </c>
    </row>
    <row r="130" spans="1:24" ht="50.45" customHeight="1" thickBot="1" x14ac:dyDescent="0.25">
      <c r="A130" s="48" t="s">
        <v>284</v>
      </c>
      <c r="B130" s="49" t="s">
        <v>285</v>
      </c>
      <c r="C130" s="54">
        <v>131000</v>
      </c>
      <c r="D130" s="54">
        <v>124176</v>
      </c>
      <c r="E130" s="55">
        <v>119000</v>
      </c>
      <c r="F130" s="118">
        <v>189559</v>
      </c>
      <c r="G130" s="61">
        <v>109000</v>
      </c>
      <c r="H130" s="61">
        <v>187756</v>
      </c>
      <c r="I130" s="61">
        <v>160000</v>
      </c>
      <c r="J130" s="93" t="s">
        <v>286</v>
      </c>
      <c r="K130" s="18">
        <f>100000-151119</f>
        <v>-51119</v>
      </c>
      <c r="L130" s="39">
        <f>K130/100000</f>
        <v>-0.51119000000000003</v>
      </c>
      <c r="M130" s="16" t="s">
        <v>31</v>
      </c>
      <c r="N130" s="16">
        <f>151119/I130-1</f>
        <v>-5.5506249999999979E-2</v>
      </c>
      <c r="O130" s="290"/>
      <c r="P130" s="100" t="s">
        <v>287</v>
      </c>
      <c r="R130" s="228"/>
      <c r="W130" s="294" t="s">
        <v>700</v>
      </c>
      <c r="X130" s="310" t="s">
        <v>774</v>
      </c>
    </row>
    <row r="131" spans="1:24" ht="99.95" customHeight="1" thickBot="1" x14ac:dyDescent="0.25">
      <c r="A131" s="48" t="s">
        <v>288</v>
      </c>
      <c r="B131" s="49" t="s">
        <v>289</v>
      </c>
      <c r="C131" s="103">
        <v>0.53190000000000004</v>
      </c>
      <c r="D131" s="103">
        <v>0.74199999999999999</v>
      </c>
      <c r="E131" s="90">
        <v>0.68720000000000003</v>
      </c>
      <c r="F131" s="117">
        <v>0.73740000000000006</v>
      </c>
      <c r="G131" s="92">
        <v>0.78</v>
      </c>
      <c r="H131" s="91">
        <v>0.73740000000000006</v>
      </c>
      <c r="I131" s="92">
        <v>0.8</v>
      </c>
      <c r="J131" s="119">
        <v>0.73740000000000006</v>
      </c>
      <c r="K131" s="120" t="s">
        <v>290</v>
      </c>
      <c r="L131" s="254"/>
      <c r="M131" s="60" t="s">
        <v>154</v>
      </c>
      <c r="N131" s="95" t="s">
        <v>291</v>
      </c>
      <c r="O131" s="290"/>
      <c r="P131" s="100">
        <v>8585</v>
      </c>
      <c r="R131" s="228"/>
      <c r="W131" s="295" t="s">
        <v>701</v>
      </c>
      <c r="X131" s="310" t="s">
        <v>755</v>
      </c>
    </row>
    <row r="132" spans="1:24" ht="50.45" customHeight="1" thickBot="1" x14ac:dyDescent="0.25">
      <c r="A132" s="48" t="s">
        <v>292</v>
      </c>
      <c r="B132" s="49" t="s">
        <v>293</v>
      </c>
      <c r="C132" s="103">
        <v>0.10150000000000001</v>
      </c>
      <c r="D132" s="103">
        <v>0.104</v>
      </c>
      <c r="E132" s="90">
        <v>0.1017</v>
      </c>
      <c r="F132" s="117">
        <v>0.10199999999999999</v>
      </c>
      <c r="G132" s="91">
        <v>9.8799999999999999E-2</v>
      </c>
      <c r="H132" s="91">
        <v>9.2999999999999999E-2</v>
      </c>
      <c r="I132" s="91">
        <v>9.6000000000000002E-2</v>
      </c>
      <c r="J132" s="93" t="s">
        <v>294</v>
      </c>
      <c r="K132" s="34" t="s">
        <v>295</v>
      </c>
      <c r="L132" s="249"/>
      <c r="M132" s="60" t="s">
        <v>154</v>
      </c>
      <c r="N132" s="34" t="s">
        <v>296</v>
      </c>
      <c r="O132" s="290"/>
      <c r="P132" s="100" t="s">
        <v>297</v>
      </c>
      <c r="R132" s="228"/>
      <c r="X132" s="306"/>
    </row>
    <row r="133" spans="1:24" ht="50.45" customHeight="1" thickBot="1" x14ac:dyDescent="0.25">
      <c r="A133" s="48" t="s">
        <v>298</v>
      </c>
      <c r="B133" s="49" t="s">
        <v>299</v>
      </c>
      <c r="C133" s="54">
        <v>1334</v>
      </c>
      <c r="D133" s="121">
        <v>635</v>
      </c>
      <c r="E133" s="50">
        <v>836</v>
      </c>
      <c r="F133" s="122">
        <v>973</v>
      </c>
      <c r="G133" s="61">
        <v>1370</v>
      </c>
      <c r="H133" s="61">
        <v>1354</v>
      </c>
      <c r="I133" s="61">
        <v>2000</v>
      </c>
      <c r="J133" s="93" t="s">
        <v>300</v>
      </c>
      <c r="K133" s="18">
        <f>1478-3500</f>
        <v>-2022</v>
      </c>
      <c r="L133" s="39">
        <f>K133/3500</f>
        <v>-0.57771428571428574</v>
      </c>
      <c r="M133" s="21" t="s">
        <v>27</v>
      </c>
      <c r="N133" s="16">
        <f>1478/I133-1</f>
        <v>-0.26100000000000001</v>
      </c>
      <c r="O133" s="290"/>
      <c r="P133" s="100" t="s">
        <v>301</v>
      </c>
      <c r="R133" s="228"/>
      <c r="W133" s="295" t="s">
        <v>702</v>
      </c>
      <c r="X133" s="309" t="s">
        <v>786</v>
      </c>
    </row>
    <row r="134" spans="1:24" ht="66" customHeight="1" thickBot="1" x14ac:dyDescent="0.25">
      <c r="A134" s="48" t="s">
        <v>302</v>
      </c>
      <c r="B134" s="49" t="s">
        <v>303</v>
      </c>
      <c r="C134" s="103">
        <v>0.17960000000000001</v>
      </c>
      <c r="D134" s="103">
        <v>0.16500000000000001</v>
      </c>
      <c r="E134" s="90">
        <v>0.16539999999999999</v>
      </c>
      <c r="F134" s="117">
        <v>0.14599999999999999</v>
      </c>
      <c r="G134" s="91">
        <v>0.1512</v>
      </c>
      <c r="H134" s="91">
        <v>0.14399999999999999</v>
      </c>
      <c r="I134" s="92">
        <v>0.14000000000000001</v>
      </c>
      <c r="J134" s="93" t="s">
        <v>304</v>
      </c>
      <c r="K134" s="120" t="s">
        <v>305</v>
      </c>
      <c r="L134" s="254"/>
      <c r="M134" s="60" t="s">
        <v>154</v>
      </c>
      <c r="N134" s="120" t="s">
        <v>306</v>
      </c>
      <c r="O134" s="290"/>
      <c r="P134" s="100" t="s">
        <v>246</v>
      </c>
      <c r="R134" s="228"/>
      <c r="W134" s="297"/>
      <c r="X134" s="306"/>
    </row>
    <row r="135" spans="1:24" ht="50.45" customHeight="1" thickBot="1" x14ac:dyDescent="0.25">
      <c r="A135" s="48" t="s">
        <v>307</v>
      </c>
      <c r="B135" s="49" t="s">
        <v>308</v>
      </c>
      <c r="C135" s="103">
        <v>0.38940000000000002</v>
      </c>
      <c r="D135" s="103">
        <v>0.35199999999999998</v>
      </c>
      <c r="E135" s="90">
        <v>0.40160000000000001</v>
      </c>
      <c r="F135" s="117">
        <v>0.34599999999999997</v>
      </c>
      <c r="G135" s="91">
        <v>0.4138</v>
      </c>
      <c r="H135" s="91">
        <v>0.33900000000000002</v>
      </c>
      <c r="I135" s="92">
        <v>0.43</v>
      </c>
      <c r="J135" s="119">
        <v>0.33900000000000002</v>
      </c>
      <c r="K135" s="120" t="s">
        <v>309</v>
      </c>
      <c r="L135" s="254"/>
      <c r="M135" s="60" t="s">
        <v>154</v>
      </c>
      <c r="N135" s="95" t="s">
        <v>310</v>
      </c>
      <c r="O135" s="290"/>
      <c r="P135" s="100" t="s">
        <v>246</v>
      </c>
      <c r="R135" s="228"/>
      <c r="W135" s="294" t="s">
        <v>703</v>
      </c>
      <c r="X135" s="309" t="s">
        <v>786</v>
      </c>
    </row>
    <row r="136" spans="1:24" ht="102" customHeight="1" thickBot="1" x14ac:dyDescent="0.25">
      <c r="A136" s="48" t="s">
        <v>311</v>
      </c>
      <c r="B136" s="49" t="s">
        <v>312</v>
      </c>
      <c r="C136" s="123" t="s">
        <v>313</v>
      </c>
      <c r="D136" s="103">
        <v>0.53900000000000003</v>
      </c>
      <c r="E136" s="50" t="s">
        <v>314</v>
      </c>
      <c r="F136" s="117">
        <v>0.53800000000000003</v>
      </c>
      <c r="G136" s="58" t="s">
        <v>314</v>
      </c>
      <c r="H136" s="92">
        <v>0.54</v>
      </c>
      <c r="I136" s="58" t="s">
        <v>315</v>
      </c>
      <c r="J136" s="93" t="s">
        <v>316</v>
      </c>
      <c r="K136" s="34" t="s">
        <v>317</v>
      </c>
      <c r="L136" s="249">
        <f>19.8/17.9-1</f>
        <v>0.1061452513966481</v>
      </c>
      <c r="M136" s="258" t="s">
        <v>649</v>
      </c>
      <c r="N136" s="34" t="s">
        <v>318</v>
      </c>
      <c r="O136" s="27"/>
      <c r="P136" s="100" t="s">
        <v>246</v>
      </c>
      <c r="R136" s="220" t="s">
        <v>617</v>
      </c>
      <c r="W136" s="294" t="s">
        <v>704</v>
      </c>
      <c r="X136" s="309" t="s">
        <v>786</v>
      </c>
    </row>
    <row r="137" spans="1:24" ht="50.45" customHeight="1" x14ac:dyDescent="0.2">
      <c r="A137" s="344" t="s">
        <v>319</v>
      </c>
      <c r="B137" s="346" t="s">
        <v>320</v>
      </c>
      <c r="C137" s="365">
        <v>0.1</v>
      </c>
      <c r="D137" s="348" t="s">
        <v>321</v>
      </c>
      <c r="E137" s="338" t="s">
        <v>322</v>
      </c>
      <c r="F137" s="367" t="s">
        <v>323</v>
      </c>
      <c r="G137" s="369" t="s">
        <v>324</v>
      </c>
      <c r="H137" s="369" t="s">
        <v>325</v>
      </c>
      <c r="I137" s="124">
        <v>0.5</v>
      </c>
      <c r="J137" s="125">
        <v>0.66600000000000004</v>
      </c>
      <c r="K137" s="34" t="s">
        <v>326</v>
      </c>
      <c r="L137" s="249">
        <f>J137/I137-1</f>
        <v>0.33200000000000007</v>
      </c>
      <c r="M137" s="21" t="s">
        <v>27</v>
      </c>
      <c r="N137" s="34" t="s">
        <v>327</v>
      </c>
      <c r="O137" s="27"/>
      <c r="P137" s="363" t="s">
        <v>53</v>
      </c>
      <c r="R137" s="220" t="s">
        <v>618</v>
      </c>
      <c r="X137" s="306"/>
    </row>
    <row r="138" spans="1:24" ht="50.45" customHeight="1" thickBot="1" x14ac:dyDescent="0.25">
      <c r="A138" s="345"/>
      <c r="B138" s="347"/>
      <c r="C138" s="366"/>
      <c r="D138" s="349"/>
      <c r="E138" s="339"/>
      <c r="F138" s="368"/>
      <c r="G138" s="370"/>
      <c r="H138" s="370"/>
      <c r="I138" s="58" t="s">
        <v>328</v>
      </c>
      <c r="J138" s="93" t="s">
        <v>329</v>
      </c>
      <c r="K138" s="126"/>
      <c r="L138" s="255"/>
      <c r="M138" s="126"/>
      <c r="N138" s="126"/>
      <c r="O138" s="290"/>
      <c r="P138" s="364"/>
      <c r="R138" s="221"/>
      <c r="X138" s="306"/>
    </row>
    <row r="139" spans="1:24" ht="57.95" customHeight="1" thickBot="1" x14ac:dyDescent="0.25">
      <c r="A139" s="48" t="s">
        <v>330</v>
      </c>
      <c r="B139" s="49" t="s">
        <v>331</v>
      </c>
      <c r="C139" s="123">
        <v>500</v>
      </c>
      <c r="D139" s="121">
        <v>594</v>
      </c>
      <c r="E139" s="50">
        <v>500</v>
      </c>
      <c r="F139" s="122">
        <v>517</v>
      </c>
      <c r="G139" s="58">
        <v>500</v>
      </c>
      <c r="H139" s="58">
        <v>564</v>
      </c>
      <c r="I139" s="58">
        <v>500</v>
      </c>
      <c r="J139" s="127">
        <v>581</v>
      </c>
      <c r="K139" s="35">
        <f>(D139+F139+H139+J139)-2000</f>
        <v>256</v>
      </c>
      <c r="L139" s="57">
        <f>K139/2000</f>
        <v>0.128</v>
      </c>
      <c r="M139" s="21" t="s">
        <v>27</v>
      </c>
      <c r="N139" s="22">
        <f>J139/I139-1</f>
        <v>0.16199999999999992</v>
      </c>
      <c r="O139" s="27"/>
      <c r="P139" s="115" t="s">
        <v>332</v>
      </c>
      <c r="R139" s="220" t="s">
        <v>619</v>
      </c>
      <c r="X139" s="306"/>
    </row>
    <row r="140" spans="1:24" ht="50.45" customHeight="1" thickBot="1" x14ac:dyDescent="0.25">
      <c r="A140" s="48" t="s">
        <v>333</v>
      </c>
      <c r="B140" s="49" t="s">
        <v>334</v>
      </c>
      <c r="C140" s="54">
        <v>7012</v>
      </c>
      <c r="D140" s="123" t="s">
        <v>335</v>
      </c>
      <c r="E140" s="55">
        <v>2833</v>
      </c>
      <c r="F140" s="122">
        <v>0</v>
      </c>
      <c r="G140" s="58">
        <v>0</v>
      </c>
      <c r="H140" s="58" t="s">
        <v>335</v>
      </c>
      <c r="I140" s="58">
        <v>0</v>
      </c>
      <c r="J140" s="93" t="s">
        <v>336</v>
      </c>
      <c r="K140" s="18">
        <f>5117-11000</f>
        <v>-5883</v>
      </c>
      <c r="L140" s="39">
        <f>5117/11000-1</f>
        <v>-0.53481818181818186</v>
      </c>
      <c r="M140" s="41" t="s">
        <v>648</v>
      </c>
      <c r="N140" s="39">
        <f>5117/11000-1</f>
        <v>-0.53481818181818186</v>
      </c>
      <c r="O140" s="27"/>
      <c r="P140" s="100">
        <v>7652</v>
      </c>
      <c r="R140" s="220" t="s">
        <v>622</v>
      </c>
      <c r="W140" s="294" t="s">
        <v>705</v>
      </c>
      <c r="X140" s="310" t="s">
        <v>776</v>
      </c>
    </row>
    <row r="141" spans="1:24" ht="55.5" customHeight="1" thickBot="1" x14ac:dyDescent="0.25">
      <c r="A141" s="48" t="s">
        <v>337</v>
      </c>
      <c r="B141" s="49" t="s">
        <v>338</v>
      </c>
      <c r="C141" s="54">
        <v>7013</v>
      </c>
      <c r="D141" s="123" t="s">
        <v>335</v>
      </c>
      <c r="E141" s="55">
        <v>8208</v>
      </c>
      <c r="F141" s="122">
        <v>0</v>
      </c>
      <c r="G141" s="61">
        <v>7390</v>
      </c>
      <c r="H141" s="58" t="s">
        <v>335</v>
      </c>
      <c r="I141" s="61">
        <v>7389</v>
      </c>
      <c r="J141" s="93" t="s">
        <v>339</v>
      </c>
      <c r="K141" s="18">
        <f>4591-30000</f>
        <v>-25409</v>
      </c>
      <c r="L141" s="39">
        <f>4591/30000-1</f>
        <v>-0.84696666666666665</v>
      </c>
      <c r="M141" s="41" t="s">
        <v>648</v>
      </c>
      <c r="N141" s="39">
        <f>4591/30000-1</f>
        <v>-0.84696666666666665</v>
      </c>
      <c r="O141" s="27"/>
      <c r="P141" s="100">
        <v>7656</v>
      </c>
      <c r="R141" s="220" t="s">
        <v>620</v>
      </c>
      <c r="W141" s="294" t="s">
        <v>706</v>
      </c>
      <c r="X141" s="310" t="s">
        <v>776</v>
      </c>
    </row>
    <row r="142" spans="1:24" ht="50.45" customHeight="1" thickBot="1" x14ac:dyDescent="0.25">
      <c r="A142" s="48" t="s">
        <v>340</v>
      </c>
      <c r="B142" s="49" t="s">
        <v>341</v>
      </c>
      <c r="C142" s="54">
        <v>4675</v>
      </c>
      <c r="D142" s="123" t="s">
        <v>335</v>
      </c>
      <c r="E142" s="55">
        <v>5472</v>
      </c>
      <c r="F142" s="122">
        <v>0</v>
      </c>
      <c r="G142" s="61">
        <v>4926</v>
      </c>
      <c r="H142" s="58" t="s">
        <v>335</v>
      </c>
      <c r="I142" s="61">
        <v>4927</v>
      </c>
      <c r="J142" s="128">
        <v>1902</v>
      </c>
      <c r="K142" s="18">
        <f>1902-20000</f>
        <v>-18098</v>
      </c>
      <c r="L142" s="39">
        <f>1902/20000-1</f>
        <v>-0.90490000000000004</v>
      </c>
      <c r="M142" s="41" t="s">
        <v>648</v>
      </c>
      <c r="N142" s="39">
        <f>1902/20000-1</f>
        <v>-0.90490000000000004</v>
      </c>
      <c r="O142" s="27"/>
      <c r="P142" s="100">
        <v>7656</v>
      </c>
      <c r="R142" s="220" t="s">
        <v>620</v>
      </c>
      <c r="W142" s="294" t="s">
        <v>707</v>
      </c>
      <c r="X142" s="310" t="s">
        <v>776</v>
      </c>
    </row>
    <row r="143" spans="1:24" ht="50.45" customHeight="1" thickBot="1" x14ac:dyDescent="0.25">
      <c r="A143" s="48" t="s">
        <v>342</v>
      </c>
      <c r="B143" s="49" t="s">
        <v>343</v>
      </c>
      <c r="C143" s="54">
        <v>2337</v>
      </c>
      <c r="D143" s="123" t="s">
        <v>335</v>
      </c>
      <c r="E143" s="55">
        <v>2833</v>
      </c>
      <c r="F143" s="122">
        <v>0</v>
      </c>
      <c r="G143" s="61">
        <v>2415</v>
      </c>
      <c r="H143" s="58" t="s">
        <v>335</v>
      </c>
      <c r="I143" s="61">
        <v>2415</v>
      </c>
      <c r="J143" s="129">
        <v>2753</v>
      </c>
      <c r="K143" s="18">
        <f>2753-10000</f>
        <v>-7247</v>
      </c>
      <c r="L143" s="39">
        <f>2753/10000-1</f>
        <v>-0.72470000000000001</v>
      </c>
      <c r="M143" s="41" t="s">
        <v>648</v>
      </c>
      <c r="N143" s="39">
        <f>2753/10000-1</f>
        <v>-0.72470000000000001</v>
      </c>
      <c r="O143" s="27"/>
      <c r="P143" s="100">
        <v>7656</v>
      </c>
      <c r="R143" s="220" t="s">
        <v>621</v>
      </c>
      <c r="W143" s="294" t="s">
        <v>708</v>
      </c>
      <c r="X143" s="310" t="s">
        <v>776</v>
      </c>
    </row>
    <row r="144" spans="1:24" ht="50.45" customHeight="1" thickBot="1" x14ac:dyDescent="0.25">
      <c r="A144" s="48" t="s">
        <v>344</v>
      </c>
      <c r="B144" s="49" t="s">
        <v>345</v>
      </c>
      <c r="C144" s="123">
        <v>750</v>
      </c>
      <c r="D144" s="123">
        <v>873</v>
      </c>
      <c r="E144" s="50">
        <v>750</v>
      </c>
      <c r="F144" s="118">
        <v>1131</v>
      </c>
      <c r="G144" s="58">
        <v>750</v>
      </c>
      <c r="H144" s="58">
        <v>987</v>
      </c>
      <c r="I144" s="58">
        <v>750</v>
      </c>
      <c r="J144" s="129">
        <v>1053</v>
      </c>
      <c r="K144" s="35">
        <f>(D144+F144+H144+J144)-3000</f>
        <v>1044</v>
      </c>
      <c r="L144" s="57">
        <f>K144/3000</f>
        <v>0.34799999999999998</v>
      </c>
      <c r="M144" s="21" t="s">
        <v>27</v>
      </c>
      <c r="N144" s="22">
        <f>J144/I144-1</f>
        <v>0.40399999999999991</v>
      </c>
      <c r="O144" s="290"/>
      <c r="P144" s="115" t="s">
        <v>332</v>
      </c>
      <c r="R144" s="228"/>
      <c r="X144" s="306"/>
    </row>
    <row r="145" spans="1:16" ht="24.95" customHeight="1" x14ac:dyDescent="0.2">
      <c r="A145"/>
      <c r="B145"/>
      <c r="C145"/>
      <c r="D145"/>
      <c r="E145"/>
      <c r="F145"/>
      <c r="G145"/>
      <c r="H145"/>
      <c r="I145"/>
      <c r="J145"/>
      <c r="P145" s="130"/>
    </row>
    <row r="146" spans="1:16" ht="33" customHeight="1" x14ac:dyDescent="0.2">
      <c r="A146" s="352" t="s">
        <v>346</v>
      </c>
      <c r="B146" s="352"/>
      <c r="C146" s="352"/>
      <c r="D146" s="352"/>
      <c r="E146" s="352"/>
      <c r="F146" s="352"/>
      <c r="G146" s="352"/>
      <c r="H146" s="352"/>
      <c r="I146" s="352"/>
      <c r="J146" s="352"/>
      <c r="K146" s="352"/>
      <c r="L146" s="352"/>
      <c r="M146" s="352"/>
      <c r="N146" s="70"/>
    </row>
    <row r="147" spans="1:16" ht="33" customHeight="1" x14ac:dyDescent="0.2">
      <c r="A147" s="313" t="s">
        <v>347</v>
      </c>
      <c r="B147" s="313"/>
      <c r="C147" s="313"/>
      <c r="D147" s="313"/>
      <c r="E147" s="313"/>
      <c r="F147" s="313"/>
      <c r="G147" s="313"/>
      <c r="H147" s="313"/>
      <c r="I147" s="313"/>
      <c r="J147" s="313"/>
      <c r="K147" s="313"/>
      <c r="L147" s="313"/>
      <c r="M147" s="313"/>
      <c r="N147" s="85"/>
    </row>
    <row r="148" spans="1:16" ht="33" customHeight="1" x14ac:dyDescent="0.2">
      <c r="A148" s="352" t="s">
        <v>348</v>
      </c>
      <c r="B148" s="352"/>
      <c r="C148" s="352"/>
      <c r="D148" s="352"/>
      <c r="E148" s="352"/>
      <c r="F148" s="352"/>
      <c r="G148" s="352"/>
      <c r="H148" s="352"/>
      <c r="I148" s="352"/>
      <c r="J148" s="352"/>
      <c r="K148" s="352"/>
      <c r="L148" s="352"/>
      <c r="M148" s="352"/>
      <c r="N148" s="70"/>
    </row>
    <row r="149" spans="1:16" ht="33" customHeight="1" x14ac:dyDescent="0.2">
      <c r="A149" s="352" t="s">
        <v>349</v>
      </c>
      <c r="B149" s="352"/>
      <c r="C149" s="352"/>
      <c r="D149" s="352"/>
      <c r="E149" s="352"/>
      <c r="F149" s="352"/>
      <c r="G149" s="352"/>
      <c r="H149" s="352"/>
      <c r="I149" s="352"/>
      <c r="J149" s="352"/>
      <c r="K149" s="352"/>
      <c r="L149" s="352"/>
      <c r="M149" s="352"/>
      <c r="N149" s="70"/>
      <c r="O149" s="272"/>
    </row>
    <row r="150" spans="1:16" ht="33" customHeight="1" x14ac:dyDescent="0.2">
      <c r="A150" s="352" t="s">
        <v>350</v>
      </c>
      <c r="B150" s="352"/>
      <c r="C150" s="352"/>
      <c r="D150" s="352"/>
      <c r="E150" s="352"/>
      <c r="F150" s="352"/>
      <c r="G150" s="352"/>
      <c r="H150" s="352"/>
      <c r="I150" s="352"/>
      <c r="J150" s="352"/>
      <c r="K150" s="352"/>
      <c r="L150" s="352"/>
      <c r="M150" s="352"/>
      <c r="N150" s="70"/>
    </row>
    <row r="151" spans="1:16" ht="33" customHeight="1" x14ac:dyDescent="0.2">
      <c r="A151" s="352" t="s">
        <v>351</v>
      </c>
      <c r="B151" s="352"/>
      <c r="C151" s="352"/>
      <c r="D151" s="352"/>
      <c r="E151" s="352"/>
      <c r="F151" s="352"/>
      <c r="G151" s="352"/>
      <c r="H151" s="352"/>
      <c r="I151" s="352"/>
      <c r="J151" s="352"/>
      <c r="K151" s="352"/>
      <c r="L151" s="352"/>
      <c r="M151" s="352"/>
      <c r="N151" s="352"/>
      <c r="O151" s="352"/>
    </row>
    <row r="152" spans="1:16" ht="33" customHeight="1" x14ac:dyDescent="0.2">
      <c r="A152" s="313" t="s">
        <v>352</v>
      </c>
      <c r="B152" s="313"/>
      <c r="C152" s="313"/>
      <c r="D152" s="313"/>
      <c r="E152" s="313"/>
      <c r="F152" s="313"/>
      <c r="G152" s="313"/>
      <c r="H152" s="313"/>
      <c r="I152" s="313"/>
      <c r="J152" s="313"/>
      <c r="K152" s="313"/>
      <c r="L152" s="313"/>
      <c r="M152" s="313"/>
      <c r="N152" s="313"/>
      <c r="O152" s="313"/>
    </row>
    <row r="153" spans="1:16" ht="33" customHeight="1" x14ac:dyDescent="0.2">
      <c r="A153" s="313" t="s">
        <v>353</v>
      </c>
      <c r="B153" s="313"/>
      <c r="C153" s="313"/>
      <c r="D153" s="313"/>
      <c r="E153" s="313"/>
      <c r="F153" s="313"/>
      <c r="G153" s="313"/>
      <c r="H153" s="313"/>
      <c r="I153" s="313"/>
      <c r="J153" s="313"/>
      <c r="K153" s="313"/>
      <c r="L153" s="313"/>
      <c r="M153" s="313"/>
      <c r="N153" s="313"/>
      <c r="O153" s="313"/>
    </row>
    <row r="154" spans="1:16" ht="33" customHeight="1" x14ac:dyDescent="0.2">
      <c r="A154" s="313" t="s">
        <v>354</v>
      </c>
      <c r="B154" s="313"/>
      <c r="C154" s="313"/>
      <c r="D154" s="313"/>
      <c r="E154" s="313"/>
      <c r="F154" s="313"/>
      <c r="G154" s="313"/>
      <c r="H154" s="313"/>
      <c r="I154" s="313"/>
      <c r="J154" s="313"/>
      <c r="K154" s="313"/>
      <c r="L154" s="313"/>
      <c r="M154" s="313"/>
      <c r="N154" s="313"/>
      <c r="O154" s="313"/>
    </row>
    <row r="155" spans="1:16" ht="33" customHeight="1" x14ac:dyDescent="0.2">
      <c r="A155" s="313" t="s">
        <v>355</v>
      </c>
      <c r="B155" s="313"/>
      <c r="C155" s="313"/>
      <c r="D155" s="313"/>
      <c r="E155" s="313"/>
      <c r="F155" s="313"/>
      <c r="G155" s="313"/>
      <c r="H155" s="313"/>
      <c r="I155" s="313"/>
      <c r="J155" s="313"/>
      <c r="K155" s="313"/>
      <c r="L155" s="313"/>
      <c r="M155" s="313"/>
      <c r="N155" s="313"/>
      <c r="O155" s="313"/>
    </row>
    <row r="156" spans="1:16" ht="33" customHeight="1" x14ac:dyDescent="0.2">
      <c r="A156" s="313" t="s">
        <v>356</v>
      </c>
      <c r="B156" s="313"/>
      <c r="C156" s="313"/>
      <c r="D156" s="313"/>
      <c r="E156" s="313"/>
      <c r="F156" s="313"/>
      <c r="G156" s="313"/>
      <c r="H156" s="313"/>
      <c r="I156" s="313"/>
      <c r="J156" s="313"/>
      <c r="K156" s="313"/>
      <c r="L156" s="313"/>
      <c r="M156" s="313"/>
      <c r="N156" s="313"/>
      <c r="O156" s="313"/>
    </row>
    <row r="157" spans="1:16" ht="33" customHeight="1" x14ac:dyDescent="0.2">
      <c r="A157" s="313" t="s">
        <v>357</v>
      </c>
      <c r="B157" s="313"/>
      <c r="C157" s="313"/>
      <c r="D157" s="313"/>
      <c r="E157" s="313"/>
      <c r="F157" s="313"/>
      <c r="G157" s="313"/>
      <c r="H157" s="313"/>
      <c r="I157" s="313"/>
      <c r="J157" s="313"/>
      <c r="K157" s="313"/>
      <c r="L157" s="313"/>
      <c r="M157" s="313"/>
      <c r="N157" s="313"/>
      <c r="O157" s="313"/>
    </row>
    <row r="158" spans="1:16" ht="50.45" customHeight="1" x14ac:dyDescent="0.2">
      <c r="A158" s="313" t="s">
        <v>358</v>
      </c>
      <c r="B158" s="313"/>
      <c r="C158" s="313"/>
      <c r="D158" s="313"/>
      <c r="E158" s="313"/>
      <c r="F158" s="313"/>
      <c r="G158" s="313"/>
      <c r="H158" s="313"/>
      <c r="I158" s="313"/>
      <c r="J158" s="313"/>
      <c r="K158" s="313"/>
      <c r="L158" s="313"/>
      <c r="M158" s="313"/>
      <c r="N158" s="313"/>
      <c r="O158" s="313"/>
    </row>
    <row r="159" spans="1:16" ht="28.5" customHeight="1" x14ac:dyDescent="0.2">
      <c r="A159" s="323" t="s">
        <v>0</v>
      </c>
      <c r="B159" s="323"/>
      <c r="C159" s="323"/>
      <c r="D159" s="323"/>
      <c r="E159" s="323"/>
      <c r="F159" s="323"/>
      <c r="G159" s="323"/>
      <c r="H159" s="323"/>
      <c r="I159" s="323"/>
      <c r="J159" s="323"/>
      <c r="K159" s="323"/>
      <c r="L159" s="323"/>
      <c r="M159" s="323"/>
      <c r="N159" s="323"/>
      <c r="O159" s="323"/>
      <c r="P159" s="323"/>
    </row>
    <row r="160" spans="1:16" ht="50.45" customHeight="1" thickBot="1" x14ac:dyDescent="0.25">
      <c r="A160" s="323" t="s">
        <v>359</v>
      </c>
      <c r="B160" s="323"/>
      <c r="C160" s="323"/>
      <c r="D160" s="323"/>
      <c r="E160" s="323"/>
      <c r="F160" s="323"/>
      <c r="G160" s="323"/>
      <c r="H160" s="323"/>
      <c r="I160" s="323"/>
      <c r="J160" s="323"/>
      <c r="K160" s="323"/>
      <c r="L160" s="323"/>
      <c r="M160" s="323"/>
      <c r="N160" s="47"/>
    </row>
    <row r="161" spans="1:24" ht="25.5" customHeight="1" thickBot="1" x14ac:dyDescent="0.25">
      <c r="A161" s="324" t="s">
        <v>2</v>
      </c>
      <c r="B161" s="325"/>
      <c r="C161" s="325"/>
      <c r="D161" s="325"/>
      <c r="E161" s="325"/>
      <c r="F161" s="325"/>
      <c r="G161" s="325"/>
      <c r="H161" s="325"/>
      <c r="I161" s="325"/>
      <c r="J161" s="326"/>
      <c r="K161" s="327" t="s">
        <v>3</v>
      </c>
      <c r="L161" s="328"/>
      <c r="M161" s="328"/>
      <c r="N161" s="328"/>
      <c r="O161" s="328"/>
      <c r="P161" s="328"/>
      <c r="R161" s="266" t="s">
        <v>654</v>
      </c>
      <c r="U161" s="278"/>
      <c r="W161" s="382" t="s">
        <v>679</v>
      </c>
      <c r="X161" s="386" t="s">
        <v>748</v>
      </c>
    </row>
    <row r="162" spans="1:24" s="132" customFormat="1" ht="30.6" customHeight="1" thickBot="1" x14ac:dyDescent="0.25">
      <c r="A162" s="360" t="s">
        <v>4</v>
      </c>
      <c r="B162" s="131" t="s">
        <v>5</v>
      </c>
      <c r="C162" s="361" t="s">
        <v>6</v>
      </c>
      <c r="D162" s="362"/>
      <c r="E162" s="361" t="s">
        <v>6</v>
      </c>
      <c r="F162" s="362"/>
      <c r="G162" s="361" t="s">
        <v>6</v>
      </c>
      <c r="H162" s="362"/>
      <c r="I162" s="361" t="s">
        <v>6</v>
      </c>
      <c r="J162" s="362"/>
      <c r="K162" s="314" t="s">
        <v>7</v>
      </c>
      <c r="L162" s="322"/>
      <c r="M162" s="314" t="s">
        <v>8</v>
      </c>
      <c r="N162" s="315"/>
      <c r="O162" s="316" t="s">
        <v>9</v>
      </c>
      <c r="P162" s="329" t="s">
        <v>10</v>
      </c>
      <c r="R162" s="379" t="s">
        <v>607</v>
      </c>
      <c r="U162" s="279"/>
      <c r="W162" s="382"/>
      <c r="X162" s="386"/>
    </row>
    <row r="163" spans="1:24" s="132" customFormat="1" ht="30.6" customHeight="1" thickBot="1" x14ac:dyDescent="0.25">
      <c r="A163" s="356"/>
      <c r="B163" s="356" t="s">
        <v>11</v>
      </c>
      <c r="C163" s="358" t="s">
        <v>12</v>
      </c>
      <c r="D163" s="359"/>
      <c r="E163" s="358" t="s">
        <v>13</v>
      </c>
      <c r="F163" s="359"/>
      <c r="G163" s="358" t="s">
        <v>14</v>
      </c>
      <c r="H163" s="359"/>
      <c r="I163" s="358" t="s">
        <v>15</v>
      </c>
      <c r="J163" s="359"/>
      <c r="K163" s="314" t="s">
        <v>16</v>
      </c>
      <c r="L163" s="322"/>
      <c r="M163" s="314" t="s">
        <v>17</v>
      </c>
      <c r="N163" s="322"/>
      <c r="O163" s="317"/>
      <c r="P163" s="330"/>
      <c r="R163" s="379"/>
      <c r="U163" s="279"/>
      <c r="W163" s="382"/>
      <c r="X163" s="386"/>
    </row>
    <row r="164" spans="1:24" s="132" customFormat="1" ht="30.6" customHeight="1" thickBot="1" x14ac:dyDescent="0.25">
      <c r="A164" s="357"/>
      <c r="B164" s="357"/>
      <c r="C164" s="133" t="s">
        <v>18</v>
      </c>
      <c r="D164" s="133" t="s">
        <v>19</v>
      </c>
      <c r="E164" s="133" t="s">
        <v>18</v>
      </c>
      <c r="F164" s="133" t="s">
        <v>19</v>
      </c>
      <c r="G164" s="133" t="s">
        <v>18</v>
      </c>
      <c r="H164" s="133" t="s">
        <v>19</v>
      </c>
      <c r="I164" s="133" t="s">
        <v>18</v>
      </c>
      <c r="J164" s="134" t="s">
        <v>360</v>
      </c>
      <c r="K164" s="5" t="s">
        <v>20</v>
      </c>
      <c r="L164" s="248" t="s">
        <v>21</v>
      </c>
      <c r="M164" s="6" t="s">
        <v>22</v>
      </c>
      <c r="N164" s="7" t="s">
        <v>23</v>
      </c>
      <c r="O164" s="318"/>
      <c r="P164" s="318"/>
      <c r="R164" s="380"/>
      <c r="U164" s="279"/>
      <c r="W164" s="382"/>
      <c r="X164" s="386"/>
    </row>
    <row r="165" spans="1:24" ht="50.45" customHeight="1" thickBot="1" x14ac:dyDescent="0.25">
      <c r="A165" s="48" t="s">
        <v>361</v>
      </c>
      <c r="B165" s="49" t="s">
        <v>362</v>
      </c>
      <c r="C165" s="97">
        <v>0.77</v>
      </c>
      <c r="D165" s="103">
        <v>0.80400000000000005</v>
      </c>
      <c r="E165" s="97">
        <v>0.79</v>
      </c>
      <c r="F165" s="90">
        <v>0.80800000000000005</v>
      </c>
      <c r="G165" s="97">
        <v>0.82</v>
      </c>
      <c r="H165" s="102">
        <v>0.84799999999999998</v>
      </c>
      <c r="I165" s="101">
        <v>0.85</v>
      </c>
      <c r="J165" s="135">
        <v>0.85</v>
      </c>
      <c r="K165" s="21" t="s">
        <v>69</v>
      </c>
      <c r="L165" s="249"/>
      <c r="M165" s="21" t="s">
        <v>27</v>
      </c>
      <c r="N165" s="21" t="s">
        <v>69</v>
      </c>
      <c r="O165" s="290"/>
      <c r="P165" s="136" t="s">
        <v>363</v>
      </c>
      <c r="R165" s="228"/>
      <c r="X165" s="307"/>
    </row>
    <row r="166" spans="1:24" ht="50.45" customHeight="1" thickBot="1" x14ac:dyDescent="0.25">
      <c r="A166" s="48" t="s">
        <v>364</v>
      </c>
      <c r="B166" s="49" t="s">
        <v>365</v>
      </c>
      <c r="C166" s="97">
        <v>0.85</v>
      </c>
      <c r="D166" s="90">
        <v>0.71699999999999997</v>
      </c>
      <c r="E166" s="97">
        <v>0.87</v>
      </c>
      <c r="F166" s="90">
        <v>0.81699999999999995</v>
      </c>
      <c r="G166" s="97">
        <v>0.89</v>
      </c>
      <c r="H166" s="102">
        <v>0.871</v>
      </c>
      <c r="I166" s="101">
        <v>0.9</v>
      </c>
      <c r="J166" s="135">
        <v>0.9</v>
      </c>
      <c r="K166" s="21" t="s">
        <v>69</v>
      </c>
      <c r="L166" s="249"/>
      <c r="M166" s="21" t="s">
        <v>27</v>
      </c>
      <c r="N166" s="21" t="s">
        <v>69</v>
      </c>
      <c r="O166" s="290"/>
      <c r="P166" s="273" t="s">
        <v>363</v>
      </c>
      <c r="R166" s="228"/>
      <c r="X166" s="307"/>
    </row>
    <row r="167" spans="1:24" ht="50.45" customHeight="1" thickBot="1" x14ac:dyDescent="0.25">
      <c r="A167" s="48" t="s">
        <v>366</v>
      </c>
      <c r="B167" s="49" t="s">
        <v>367</v>
      </c>
      <c r="C167" s="97">
        <v>0.5</v>
      </c>
      <c r="D167" s="104" t="s">
        <v>368</v>
      </c>
      <c r="E167" s="97">
        <v>0.55000000000000004</v>
      </c>
      <c r="F167" s="104" t="s">
        <v>369</v>
      </c>
      <c r="G167" s="97">
        <v>0.56000000000000005</v>
      </c>
      <c r="H167" s="102">
        <v>0.29399999999999998</v>
      </c>
      <c r="I167" s="101">
        <v>0.56999999999999995</v>
      </c>
      <c r="J167" s="135">
        <v>0.3</v>
      </c>
      <c r="K167" s="120" t="s">
        <v>370</v>
      </c>
      <c r="L167" s="254"/>
      <c r="M167" s="21" t="s">
        <v>27</v>
      </c>
      <c r="N167" s="95" t="s">
        <v>371</v>
      </c>
      <c r="O167" s="290"/>
      <c r="P167" s="273" t="s">
        <v>363</v>
      </c>
      <c r="R167" s="228"/>
      <c r="W167" s="294" t="s">
        <v>709</v>
      </c>
      <c r="X167" s="310" t="s">
        <v>775</v>
      </c>
    </row>
    <row r="168" spans="1:24" ht="50.45" customHeight="1" thickBot="1" x14ac:dyDescent="0.25">
      <c r="A168" s="48" t="s">
        <v>372</v>
      </c>
      <c r="B168" s="49" t="s">
        <v>373</v>
      </c>
      <c r="C168" s="97">
        <v>0.4</v>
      </c>
      <c r="D168" s="103">
        <v>0.26900000000000002</v>
      </c>
      <c r="E168" s="97">
        <v>0.5</v>
      </c>
      <c r="F168" s="97">
        <v>0.3</v>
      </c>
      <c r="G168" s="97">
        <v>0.55000000000000004</v>
      </c>
      <c r="H168" s="102">
        <v>0.40500000000000003</v>
      </c>
      <c r="I168" s="101">
        <v>0.6</v>
      </c>
      <c r="J168" s="137">
        <v>0.45900000000000002</v>
      </c>
      <c r="K168" s="120" t="s">
        <v>271</v>
      </c>
      <c r="L168" s="254"/>
      <c r="M168" s="21" t="s">
        <v>27</v>
      </c>
      <c r="N168" s="95" t="s">
        <v>374</v>
      </c>
      <c r="O168" s="290"/>
      <c r="P168" s="273" t="s">
        <v>363</v>
      </c>
      <c r="R168" s="228"/>
      <c r="W168" s="294" t="s">
        <v>710</v>
      </c>
      <c r="X168" s="310" t="s">
        <v>764</v>
      </c>
    </row>
    <row r="169" spans="1:24" ht="50.45" customHeight="1" thickBot="1" x14ac:dyDescent="0.25">
      <c r="A169" s="48" t="s">
        <v>375</v>
      </c>
      <c r="B169" s="49" t="s">
        <v>376</v>
      </c>
      <c r="C169" s="97">
        <v>0.75</v>
      </c>
      <c r="D169" s="103">
        <v>0.59699999999999998</v>
      </c>
      <c r="E169" s="97">
        <v>0.8</v>
      </c>
      <c r="F169" s="90">
        <v>0.73799999999999999</v>
      </c>
      <c r="G169" s="97">
        <v>0.85</v>
      </c>
      <c r="H169" s="102">
        <v>0.82799999999999996</v>
      </c>
      <c r="I169" s="101">
        <v>0.9</v>
      </c>
      <c r="J169" s="137">
        <v>0.83799999999999997</v>
      </c>
      <c r="K169" s="120" t="s">
        <v>377</v>
      </c>
      <c r="L169" s="254"/>
      <c r="M169" s="21" t="s">
        <v>27</v>
      </c>
      <c r="N169" s="95" t="s">
        <v>291</v>
      </c>
      <c r="O169" s="290"/>
      <c r="P169" s="273" t="s">
        <v>363</v>
      </c>
      <c r="R169" s="228"/>
      <c r="X169" s="307"/>
    </row>
    <row r="170" spans="1:24" ht="50.45" customHeight="1" thickBot="1" x14ac:dyDescent="0.25">
      <c r="A170" s="48" t="s">
        <v>378</v>
      </c>
      <c r="B170" s="49" t="s">
        <v>379</v>
      </c>
      <c r="C170" s="50">
        <v>3</v>
      </c>
      <c r="D170" s="123">
        <v>3</v>
      </c>
      <c r="E170" s="50">
        <v>3</v>
      </c>
      <c r="F170" s="50">
        <v>4</v>
      </c>
      <c r="G170" s="50">
        <v>3</v>
      </c>
      <c r="H170" s="51">
        <v>1</v>
      </c>
      <c r="I170" s="51">
        <v>2</v>
      </c>
      <c r="J170" s="63">
        <v>10</v>
      </c>
      <c r="K170" s="21">
        <f>(D170+F170+H170+J170)-11</f>
        <v>7</v>
      </c>
      <c r="L170" s="57">
        <f>(E170+G170+I170+K170)/11-1</f>
        <v>0.36363636363636354</v>
      </c>
      <c r="M170" s="21" t="s">
        <v>27</v>
      </c>
      <c r="N170" s="22">
        <f>J170/I170-1</f>
        <v>4</v>
      </c>
      <c r="O170" s="27"/>
      <c r="P170" s="273" t="s">
        <v>363</v>
      </c>
      <c r="R170" s="219" t="s">
        <v>623</v>
      </c>
      <c r="X170" s="307"/>
    </row>
    <row r="171" spans="1:24" ht="50.45" customHeight="1" thickBot="1" x14ac:dyDescent="0.25">
      <c r="A171" s="48" t="s">
        <v>380</v>
      </c>
      <c r="B171" s="49" t="s">
        <v>381</v>
      </c>
      <c r="C171" s="50">
        <v>70</v>
      </c>
      <c r="D171" s="123">
        <v>30</v>
      </c>
      <c r="E171" s="50">
        <v>53</v>
      </c>
      <c r="F171" s="50">
        <v>24</v>
      </c>
      <c r="G171" s="50">
        <v>80</v>
      </c>
      <c r="H171" s="51">
        <v>13</v>
      </c>
      <c r="I171" s="51">
        <v>20</v>
      </c>
      <c r="J171" s="63">
        <v>16</v>
      </c>
      <c r="K171" s="20">
        <f>(D171+F171+H171+J171)-250</f>
        <v>-167</v>
      </c>
      <c r="L171" s="39">
        <f>K171/250</f>
        <v>-0.66800000000000004</v>
      </c>
      <c r="M171" s="21" t="s">
        <v>27</v>
      </c>
      <c r="N171" s="16">
        <f>J171/I171-1</f>
        <v>-0.19999999999999996</v>
      </c>
      <c r="O171" s="290"/>
      <c r="P171" s="273">
        <v>7684</v>
      </c>
      <c r="R171" s="228"/>
      <c r="W171" s="294" t="s">
        <v>711</v>
      </c>
      <c r="X171" s="310" t="s">
        <v>765</v>
      </c>
    </row>
    <row r="172" spans="1:24" ht="50.45" customHeight="1" thickBot="1" x14ac:dyDescent="0.25">
      <c r="A172" s="48" t="s">
        <v>382</v>
      </c>
      <c r="B172" s="49" t="s">
        <v>383</v>
      </c>
      <c r="C172" s="50">
        <v>80</v>
      </c>
      <c r="D172" s="123">
        <v>26</v>
      </c>
      <c r="E172" s="50">
        <v>36</v>
      </c>
      <c r="F172" s="50">
        <v>19</v>
      </c>
      <c r="G172" s="50">
        <v>48</v>
      </c>
      <c r="H172" s="51">
        <v>25</v>
      </c>
      <c r="I172" s="51">
        <v>50</v>
      </c>
      <c r="J172" s="63">
        <v>30</v>
      </c>
      <c r="K172" s="20">
        <f>(D172+F172+H172+J172)-281</f>
        <v>-181</v>
      </c>
      <c r="L172" s="39">
        <f>K172/281</f>
        <v>-0.64412811387900359</v>
      </c>
      <c r="M172" s="21" t="s">
        <v>27</v>
      </c>
      <c r="N172" s="16">
        <f>J172/I172-1</f>
        <v>-0.4</v>
      </c>
      <c r="O172" s="290"/>
      <c r="P172" s="276">
        <v>7684</v>
      </c>
      <c r="R172" s="228"/>
      <c r="W172" s="294" t="s">
        <v>712</v>
      </c>
      <c r="X172" s="310" t="s">
        <v>766</v>
      </c>
    </row>
    <row r="173" spans="1:24" ht="50.45" customHeight="1" thickBot="1" x14ac:dyDescent="0.25">
      <c r="A173" s="48" t="s">
        <v>384</v>
      </c>
      <c r="B173" s="49" t="s">
        <v>385</v>
      </c>
      <c r="C173" s="50">
        <v>45</v>
      </c>
      <c r="D173" s="123">
        <v>24</v>
      </c>
      <c r="E173" s="50">
        <v>0</v>
      </c>
      <c r="F173" s="50">
        <v>7</v>
      </c>
      <c r="G173" s="50">
        <v>5</v>
      </c>
      <c r="H173" s="51">
        <v>3</v>
      </c>
      <c r="I173" s="51">
        <v>5</v>
      </c>
      <c r="J173" s="63">
        <v>12</v>
      </c>
      <c r="K173" s="20">
        <f>(D173+F173+H173+J173)-148</f>
        <v>-102</v>
      </c>
      <c r="L173" s="39">
        <f>K173/148</f>
        <v>-0.68918918918918914</v>
      </c>
      <c r="M173" s="21" t="s">
        <v>27</v>
      </c>
      <c r="N173" s="22">
        <f>J173/I173-1</f>
        <v>1.4</v>
      </c>
      <c r="O173" s="290"/>
      <c r="P173" s="273">
        <v>7684</v>
      </c>
      <c r="R173" s="228"/>
      <c r="W173" s="294" t="s">
        <v>737</v>
      </c>
      <c r="X173" s="310" t="s">
        <v>787</v>
      </c>
    </row>
    <row r="174" spans="1:24" ht="23.45" customHeight="1" x14ac:dyDescent="0.2">
      <c r="A174"/>
      <c r="B174"/>
      <c r="C174"/>
      <c r="D174"/>
      <c r="E174"/>
      <c r="F174"/>
      <c r="G174"/>
      <c r="H174"/>
      <c r="I174"/>
      <c r="J174"/>
    </row>
    <row r="175" spans="1:24" ht="29.1" customHeight="1" x14ac:dyDescent="0.2">
      <c r="A175" s="352" t="s">
        <v>386</v>
      </c>
      <c r="B175" s="352"/>
      <c r="C175" s="352"/>
      <c r="D175" s="352"/>
      <c r="E175" s="352"/>
      <c r="F175" s="352"/>
      <c r="G175" s="352"/>
      <c r="H175" s="352"/>
      <c r="I175" s="352"/>
      <c r="J175" s="352"/>
      <c r="K175" s="352"/>
      <c r="L175" s="352"/>
      <c r="M175" s="352"/>
      <c r="N175" s="352"/>
      <c r="O175" s="352"/>
    </row>
    <row r="176" spans="1:24" ht="29.1" customHeight="1" x14ac:dyDescent="0.2">
      <c r="A176" s="138" t="s">
        <v>387</v>
      </c>
      <c r="B176"/>
      <c r="C176"/>
      <c r="D176"/>
      <c r="E176"/>
      <c r="F176"/>
      <c r="G176"/>
      <c r="H176"/>
      <c r="I176"/>
      <c r="J176"/>
    </row>
    <row r="177" spans="1:24" ht="29.1" customHeight="1" x14ac:dyDescent="0.2">
      <c r="A177" s="313" t="s">
        <v>388</v>
      </c>
      <c r="B177" s="313"/>
      <c r="C177" s="313"/>
      <c r="D177" s="313"/>
      <c r="E177" s="313"/>
      <c r="F177" s="313"/>
      <c r="G177" s="313"/>
      <c r="H177" s="313"/>
      <c r="I177" s="313"/>
      <c r="J177" s="313"/>
      <c r="K177" s="313"/>
      <c r="L177" s="313"/>
      <c r="M177" s="313"/>
      <c r="N177" s="313"/>
      <c r="O177" s="313"/>
    </row>
    <row r="178" spans="1:24" ht="21.6" customHeight="1" x14ac:dyDescent="0.2">
      <c r="A178" s="323" t="s">
        <v>0</v>
      </c>
      <c r="B178" s="323"/>
      <c r="C178" s="323"/>
      <c r="D178" s="323"/>
      <c r="E178" s="323"/>
      <c r="F178" s="323"/>
      <c r="G178" s="323"/>
      <c r="H178" s="323"/>
      <c r="I178" s="323"/>
      <c r="J178" s="323"/>
      <c r="K178" s="323"/>
      <c r="L178" s="323"/>
      <c r="M178" s="323"/>
      <c r="N178" s="323"/>
      <c r="O178" s="323"/>
      <c r="P178" s="323"/>
    </row>
    <row r="179" spans="1:24" ht="50.45" customHeight="1" thickBot="1" x14ac:dyDescent="0.25">
      <c r="A179" s="323" t="s">
        <v>389</v>
      </c>
      <c r="B179" s="323"/>
      <c r="C179" s="323"/>
      <c r="D179" s="323"/>
      <c r="E179" s="323"/>
      <c r="F179" s="323"/>
      <c r="G179" s="323"/>
      <c r="H179" s="323"/>
      <c r="I179" s="323"/>
      <c r="J179" s="323"/>
      <c r="K179" s="323"/>
      <c r="L179" s="323"/>
      <c r="M179" s="323"/>
      <c r="N179" s="47"/>
    </row>
    <row r="180" spans="1:24" ht="24.6" customHeight="1" thickBot="1" x14ac:dyDescent="0.25">
      <c r="A180" s="324" t="s">
        <v>2</v>
      </c>
      <c r="B180" s="325"/>
      <c r="C180" s="325"/>
      <c r="D180" s="325"/>
      <c r="E180" s="325"/>
      <c r="F180" s="325"/>
      <c r="G180" s="325"/>
      <c r="H180" s="325"/>
      <c r="I180" s="325"/>
      <c r="J180" s="326"/>
      <c r="K180" s="327" t="s">
        <v>3</v>
      </c>
      <c r="L180" s="328"/>
      <c r="M180" s="328"/>
      <c r="N180" s="328"/>
      <c r="O180" s="328"/>
      <c r="P180" s="328"/>
      <c r="R180" s="266" t="s">
        <v>654</v>
      </c>
      <c r="U180" s="278"/>
      <c r="W180" s="382" t="s">
        <v>679</v>
      </c>
      <c r="X180" s="386" t="s">
        <v>748</v>
      </c>
    </row>
    <row r="181" spans="1:24" ht="30.95" customHeight="1" thickBot="1" x14ac:dyDescent="0.25">
      <c r="A181" s="335" t="s">
        <v>4</v>
      </c>
      <c r="B181" s="71" t="s">
        <v>390</v>
      </c>
      <c r="C181" s="336" t="s">
        <v>6</v>
      </c>
      <c r="D181" s="337"/>
      <c r="E181" s="336" t="s">
        <v>6</v>
      </c>
      <c r="F181" s="337"/>
      <c r="G181" s="336" t="s">
        <v>6</v>
      </c>
      <c r="H181" s="337"/>
      <c r="I181" s="336" t="s">
        <v>6</v>
      </c>
      <c r="J181" s="337"/>
      <c r="K181" s="314" t="s">
        <v>7</v>
      </c>
      <c r="L181" s="322"/>
      <c r="M181" s="314" t="s">
        <v>8</v>
      </c>
      <c r="N181" s="315"/>
      <c r="O181" s="316" t="s">
        <v>9</v>
      </c>
      <c r="P181" s="329" t="s">
        <v>10</v>
      </c>
      <c r="R181" s="379" t="s">
        <v>607</v>
      </c>
      <c r="U181" s="279"/>
      <c r="W181" s="382"/>
      <c r="X181" s="386"/>
    </row>
    <row r="182" spans="1:24" ht="30.95" customHeight="1" thickBot="1" x14ac:dyDescent="0.25">
      <c r="A182" s="331"/>
      <c r="B182" s="331" t="s">
        <v>11</v>
      </c>
      <c r="C182" s="333" t="s">
        <v>12</v>
      </c>
      <c r="D182" s="334"/>
      <c r="E182" s="333" t="s">
        <v>13</v>
      </c>
      <c r="F182" s="334"/>
      <c r="G182" s="333" t="s">
        <v>14</v>
      </c>
      <c r="H182" s="334"/>
      <c r="I182" s="333" t="s">
        <v>15</v>
      </c>
      <c r="J182" s="334"/>
      <c r="K182" s="314" t="s">
        <v>16</v>
      </c>
      <c r="L182" s="322"/>
      <c r="M182" s="314" t="s">
        <v>17</v>
      </c>
      <c r="N182" s="322"/>
      <c r="O182" s="317"/>
      <c r="P182" s="330"/>
      <c r="R182" s="379"/>
      <c r="U182" s="279"/>
      <c r="W182" s="382"/>
      <c r="X182" s="386"/>
    </row>
    <row r="183" spans="1:24" ht="30.95" customHeight="1" thickBot="1" x14ac:dyDescent="0.25">
      <c r="A183" s="332"/>
      <c r="B183" s="332"/>
      <c r="C183" s="72" t="s">
        <v>18</v>
      </c>
      <c r="D183" s="72" t="s">
        <v>19</v>
      </c>
      <c r="E183" s="72" t="s">
        <v>18</v>
      </c>
      <c r="F183" s="72" t="s">
        <v>19</v>
      </c>
      <c r="G183" s="72" t="s">
        <v>18</v>
      </c>
      <c r="H183" s="72" t="s">
        <v>19</v>
      </c>
      <c r="I183" s="72" t="s">
        <v>18</v>
      </c>
      <c r="J183" s="72" t="s">
        <v>19</v>
      </c>
      <c r="K183" s="5" t="s">
        <v>20</v>
      </c>
      <c r="L183" s="248" t="s">
        <v>21</v>
      </c>
      <c r="M183" s="6" t="s">
        <v>22</v>
      </c>
      <c r="N183" s="7" t="s">
        <v>23</v>
      </c>
      <c r="O183" s="318"/>
      <c r="P183" s="318"/>
      <c r="R183" s="380"/>
      <c r="U183" s="279"/>
      <c r="W183" s="382"/>
      <c r="X183" s="386"/>
    </row>
    <row r="184" spans="1:24" ht="95.45" customHeight="1" thickBot="1" x14ac:dyDescent="0.25">
      <c r="A184" s="48" t="s">
        <v>391</v>
      </c>
      <c r="B184" s="49" t="s">
        <v>392</v>
      </c>
      <c r="C184" s="97">
        <v>0.79</v>
      </c>
      <c r="D184" s="90">
        <v>0.80549999999999999</v>
      </c>
      <c r="E184" s="97">
        <v>0.81</v>
      </c>
      <c r="F184" s="90">
        <v>0.77900000000000003</v>
      </c>
      <c r="G184" s="97">
        <v>0.82</v>
      </c>
      <c r="H184" s="90">
        <v>0.78700000000000003</v>
      </c>
      <c r="I184" s="97">
        <v>0.83</v>
      </c>
      <c r="J184" s="105">
        <v>0.78900000000000003</v>
      </c>
      <c r="K184" s="120" t="s">
        <v>281</v>
      </c>
      <c r="L184" s="254"/>
      <c r="M184" s="21" t="s">
        <v>27</v>
      </c>
      <c r="N184" s="16">
        <f>J184/I184-1</f>
        <v>-4.9397590361445642E-2</v>
      </c>
      <c r="O184" s="290"/>
      <c r="P184" s="274" t="s">
        <v>393</v>
      </c>
      <c r="R184" s="228"/>
      <c r="W184" s="294" t="s">
        <v>715</v>
      </c>
      <c r="X184" s="309" t="s">
        <v>786</v>
      </c>
    </row>
    <row r="185" spans="1:24" ht="147.6" customHeight="1" x14ac:dyDescent="0.2">
      <c r="A185" s="344" t="s">
        <v>394</v>
      </c>
      <c r="B185" s="346" t="s">
        <v>395</v>
      </c>
      <c r="C185" s="338" t="s">
        <v>396</v>
      </c>
      <c r="D185" s="338" t="s">
        <v>397</v>
      </c>
      <c r="E185" s="139" t="s">
        <v>398</v>
      </c>
      <c r="F185" s="338" t="s">
        <v>399</v>
      </c>
      <c r="G185" s="139" t="s">
        <v>398</v>
      </c>
      <c r="H185" s="338" t="s">
        <v>400</v>
      </c>
      <c r="I185" s="139" t="s">
        <v>398</v>
      </c>
      <c r="J185" s="353" t="s">
        <v>401</v>
      </c>
      <c r="K185" s="21">
        <f>4.62-3</f>
        <v>1.62</v>
      </c>
      <c r="L185" s="57">
        <f>4.62/3-1</f>
        <v>0.54</v>
      </c>
      <c r="M185" s="21" t="s">
        <v>650</v>
      </c>
      <c r="N185" s="57">
        <f>4.62/3-1</f>
        <v>0.54</v>
      </c>
      <c r="O185" s="292"/>
      <c r="P185" s="342">
        <v>4295</v>
      </c>
      <c r="R185" s="381" t="s">
        <v>624</v>
      </c>
      <c r="W185" s="294" t="s">
        <v>714</v>
      </c>
      <c r="X185" s="311" t="s">
        <v>769</v>
      </c>
    </row>
    <row r="186" spans="1:24" ht="50.45" customHeight="1" thickBot="1" x14ac:dyDescent="0.25">
      <c r="A186" s="345"/>
      <c r="B186" s="347"/>
      <c r="C186" s="339"/>
      <c r="D186" s="339"/>
      <c r="E186" s="50" t="s">
        <v>402</v>
      </c>
      <c r="F186" s="339"/>
      <c r="G186" s="50" t="s">
        <v>402</v>
      </c>
      <c r="H186" s="339"/>
      <c r="I186" s="50" t="s">
        <v>402</v>
      </c>
      <c r="J186" s="354"/>
      <c r="K186" s="126"/>
      <c r="L186" s="255"/>
      <c r="M186" s="126"/>
      <c r="N186" s="140"/>
      <c r="O186" s="291"/>
      <c r="P186" s="355"/>
      <c r="R186" s="381"/>
      <c r="X186" s="305"/>
    </row>
    <row r="187" spans="1:24" ht="102.6" customHeight="1" thickBot="1" x14ac:dyDescent="0.25">
      <c r="A187" s="48" t="s">
        <v>403</v>
      </c>
      <c r="B187" s="49" t="s">
        <v>404</v>
      </c>
      <c r="C187" s="97">
        <v>1</v>
      </c>
      <c r="D187" s="98">
        <v>1</v>
      </c>
      <c r="E187" s="97">
        <v>1</v>
      </c>
      <c r="F187" s="97">
        <v>1</v>
      </c>
      <c r="G187" s="97">
        <v>1</v>
      </c>
      <c r="H187" s="97">
        <v>1</v>
      </c>
      <c r="I187" s="97">
        <v>1</v>
      </c>
      <c r="J187" s="141">
        <v>1</v>
      </c>
      <c r="K187" s="21" t="s">
        <v>69</v>
      </c>
      <c r="L187" s="249"/>
      <c r="M187" s="60" t="s">
        <v>154</v>
      </c>
      <c r="N187" s="21" t="s">
        <v>69</v>
      </c>
      <c r="O187" s="291"/>
      <c r="P187" s="142" t="s">
        <v>405</v>
      </c>
      <c r="R187" s="228"/>
      <c r="W187" s="294" t="s">
        <v>738</v>
      </c>
      <c r="X187" s="309" t="s">
        <v>786</v>
      </c>
    </row>
    <row r="188" spans="1:24" ht="219.95" customHeight="1" thickBot="1" x14ac:dyDescent="0.25">
      <c r="A188" s="48" t="s">
        <v>406</v>
      </c>
      <c r="B188" s="49" t="s">
        <v>407</v>
      </c>
      <c r="C188" s="97">
        <v>0.6</v>
      </c>
      <c r="D188" s="103">
        <v>0.46800000000000003</v>
      </c>
      <c r="E188" s="97">
        <v>0.62</v>
      </c>
      <c r="F188" s="90">
        <v>0.42309999999999998</v>
      </c>
      <c r="G188" s="97">
        <v>0.35</v>
      </c>
      <c r="H188" s="90">
        <v>0.1915</v>
      </c>
      <c r="I188" s="97">
        <v>0.25</v>
      </c>
      <c r="J188" s="105">
        <v>0.38500000000000001</v>
      </c>
      <c r="K188" s="120" t="s">
        <v>408</v>
      </c>
      <c r="L188" s="254"/>
      <c r="M188" s="21" t="s">
        <v>27</v>
      </c>
      <c r="N188" s="34" t="s">
        <v>409</v>
      </c>
      <c r="O188" s="291"/>
      <c r="P188" s="143" t="s">
        <v>410</v>
      </c>
      <c r="R188" s="228"/>
      <c r="W188" s="294" t="s">
        <v>713</v>
      </c>
      <c r="X188" s="309" t="s">
        <v>786</v>
      </c>
    </row>
    <row r="189" spans="1:24" ht="110.1" customHeight="1" thickBot="1" x14ac:dyDescent="0.25">
      <c r="A189" s="48" t="s">
        <v>411</v>
      </c>
      <c r="B189" s="49" t="s">
        <v>412</v>
      </c>
      <c r="C189" s="97">
        <v>0.35</v>
      </c>
      <c r="D189" s="103">
        <v>0.28399999999999997</v>
      </c>
      <c r="E189" s="97">
        <v>0.45</v>
      </c>
      <c r="F189" s="104" t="s">
        <v>413</v>
      </c>
      <c r="G189" s="97">
        <v>0.55000000000000004</v>
      </c>
      <c r="H189" s="90">
        <v>0.51380000000000003</v>
      </c>
      <c r="I189" s="90">
        <v>0.63090000000000002</v>
      </c>
      <c r="J189" s="105">
        <v>0.62980000000000003</v>
      </c>
      <c r="K189" s="21" t="s">
        <v>69</v>
      </c>
      <c r="L189" s="249"/>
      <c r="M189" s="21" t="s">
        <v>27</v>
      </c>
      <c r="N189" s="21" t="s">
        <v>69</v>
      </c>
      <c r="O189" s="290"/>
      <c r="P189" s="276" t="s">
        <v>414</v>
      </c>
      <c r="R189" s="228"/>
      <c r="W189" s="294" t="s">
        <v>741</v>
      </c>
      <c r="X189" s="309" t="s">
        <v>786</v>
      </c>
    </row>
    <row r="190" spans="1:24" ht="20.45" customHeight="1" x14ac:dyDescent="0.2">
      <c r="A190"/>
      <c r="B190"/>
      <c r="C190"/>
      <c r="D190"/>
      <c r="E190"/>
      <c r="F190"/>
      <c r="G190"/>
      <c r="H190"/>
      <c r="I190"/>
      <c r="J190"/>
    </row>
    <row r="191" spans="1:24" ht="20.45" customHeight="1" x14ac:dyDescent="0.2">
      <c r="A191" s="144" t="s">
        <v>415</v>
      </c>
      <c r="B191"/>
      <c r="C191"/>
      <c r="D191"/>
      <c r="E191"/>
      <c r="F191"/>
      <c r="G191"/>
      <c r="H191"/>
      <c r="I191"/>
      <c r="J191"/>
    </row>
    <row r="192" spans="1:24" ht="21.6" customHeight="1" x14ac:dyDescent="0.2">
      <c r="A192" s="323" t="s">
        <v>0</v>
      </c>
      <c r="B192" s="323"/>
      <c r="C192" s="323"/>
      <c r="D192" s="323"/>
      <c r="E192" s="323"/>
      <c r="F192" s="323"/>
      <c r="G192" s="323"/>
      <c r="H192" s="323"/>
      <c r="I192" s="323"/>
      <c r="J192" s="323"/>
      <c r="K192" s="323"/>
      <c r="L192" s="323"/>
      <c r="M192" s="323"/>
      <c r="N192" s="323"/>
      <c r="O192" s="323"/>
      <c r="P192" s="323"/>
    </row>
    <row r="193" spans="1:25" ht="50.45" customHeight="1" thickBot="1" x14ac:dyDescent="0.25">
      <c r="A193" s="323" t="s">
        <v>416</v>
      </c>
      <c r="B193" s="323"/>
      <c r="C193" s="323"/>
      <c r="D193" s="323"/>
      <c r="E193" s="323"/>
      <c r="F193" s="323"/>
      <c r="G193" s="323"/>
      <c r="H193" s="323"/>
      <c r="I193" s="323"/>
      <c r="J193" s="323"/>
      <c r="K193" s="323"/>
      <c r="L193" s="323"/>
      <c r="M193" s="323"/>
      <c r="N193" s="47"/>
    </row>
    <row r="194" spans="1:25" ht="23.45" customHeight="1" thickBot="1" x14ac:dyDescent="0.25">
      <c r="A194" s="324" t="s">
        <v>2</v>
      </c>
      <c r="B194" s="325"/>
      <c r="C194" s="325"/>
      <c r="D194" s="325"/>
      <c r="E194" s="325"/>
      <c r="F194" s="325"/>
      <c r="G194" s="325"/>
      <c r="H194" s="325"/>
      <c r="I194" s="325"/>
      <c r="J194" s="326"/>
      <c r="K194" s="327" t="s">
        <v>3</v>
      </c>
      <c r="L194" s="328"/>
      <c r="M194" s="328"/>
      <c r="N194" s="328"/>
      <c r="O194" s="328"/>
      <c r="P194" s="328"/>
      <c r="R194" s="266" t="s">
        <v>654</v>
      </c>
      <c r="U194" s="278"/>
      <c r="W194" s="382" t="s">
        <v>679</v>
      </c>
      <c r="X194" s="392" t="s">
        <v>748</v>
      </c>
    </row>
    <row r="195" spans="1:25" ht="28.5" customHeight="1" thickBot="1" x14ac:dyDescent="0.25">
      <c r="A195" s="335" t="s">
        <v>4</v>
      </c>
      <c r="B195" s="71" t="s">
        <v>5</v>
      </c>
      <c r="C195" s="336" t="s">
        <v>6</v>
      </c>
      <c r="D195" s="337"/>
      <c r="E195" s="336" t="s">
        <v>6</v>
      </c>
      <c r="F195" s="337"/>
      <c r="G195" s="336" t="s">
        <v>6</v>
      </c>
      <c r="H195" s="337"/>
      <c r="I195" s="336" t="s">
        <v>6</v>
      </c>
      <c r="J195" s="337"/>
      <c r="K195" s="314" t="s">
        <v>7</v>
      </c>
      <c r="L195" s="322"/>
      <c r="M195" s="314" t="s">
        <v>8</v>
      </c>
      <c r="N195" s="315"/>
      <c r="O195" s="316" t="s">
        <v>9</v>
      </c>
      <c r="P195" s="329" t="s">
        <v>10</v>
      </c>
      <c r="R195" s="379" t="s">
        <v>607</v>
      </c>
      <c r="U195" s="279"/>
      <c r="W195" s="382"/>
      <c r="X195" s="392"/>
    </row>
    <row r="196" spans="1:25" ht="28.5" customHeight="1" thickBot="1" x14ac:dyDescent="0.25">
      <c r="A196" s="331"/>
      <c r="B196" s="331" t="s">
        <v>11</v>
      </c>
      <c r="C196" s="333" t="s">
        <v>12</v>
      </c>
      <c r="D196" s="334"/>
      <c r="E196" s="333" t="s">
        <v>13</v>
      </c>
      <c r="F196" s="334"/>
      <c r="G196" s="333" t="s">
        <v>14</v>
      </c>
      <c r="H196" s="334"/>
      <c r="I196" s="333" t="s">
        <v>15</v>
      </c>
      <c r="J196" s="334"/>
      <c r="K196" s="314" t="s">
        <v>16</v>
      </c>
      <c r="L196" s="322"/>
      <c r="M196" s="314" t="s">
        <v>17</v>
      </c>
      <c r="N196" s="322"/>
      <c r="O196" s="317"/>
      <c r="P196" s="330"/>
      <c r="R196" s="379"/>
      <c r="U196" s="279"/>
      <c r="W196" s="382"/>
      <c r="X196" s="392"/>
    </row>
    <row r="197" spans="1:25" ht="28.5" customHeight="1" thickBot="1" x14ac:dyDescent="0.25">
      <c r="A197" s="332"/>
      <c r="B197" s="332"/>
      <c r="C197" s="72" t="s">
        <v>18</v>
      </c>
      <c r="D197" s="72" t="s">
        <v>19</v>
      </c>
      <c r="E197" s="72" t="s">
        <v>18</v>
      </c>
      <c r="F197" s="72" t="s">
        <v>19</v>
      </c>
      <c r="G197" s="72" t="s">
        <v>18</v>
      </c>
      <c r="H197" s="72" t="s">
        <v>19</v>
      </c>
      <c r="I197" s="72" t="s">
        <v>18</v>
      </c>
      <c r="J197" s="72" t="s">
        <v>19</v>
      </c>
      <c r="K197" s="5" t="s">
        <v>20</v>
      </c>
      <c r="L197" s="248" t="s">
        <v>21</v>
      </c>
      <c r="M197" s="6" t="s">
        <v>22</v>
      </c>
      <c r="N197" s="7" t="s">
        <v>23</v>
      </c>
      <c r="O197" s="318"/>
      <c r="P197" s="318"/>
      <c r="R197" s="380"/>
      <c r="U197" s="279"/>
      <c r="W197" s="382"/>
      <c r="X197" s="392"/>
    </row>
    <row r="198" spans="1:25" ht="110.45" customHeight="1" thickBot="1" x14ac:dyDescent="0.25">
      <c r="A198" s="145" t="s">
        <v>417</v>
      </c>
      <c r="B198" s="49" t="s">
        <v>418</v>
      </c>
      <c r="C198" s="50">
        <v>2</v>
      </c>
      <c r="D198" s="50">
        <v>0</v>
      </c>
      <c r="E198" s="50">
        <v>3</v>
      </c>
      <c r="F198" s="50">
        <v>0</v>
      </c>
      <c r="G198" s="50">
        <v>2</v>
      </c>
      <c r="H198" s="50">
        <v>7</v>
      </c>
      <c r="I198" s="50">
        <v>2</v>
      </c>
      <c r="J198" s="53" t="s">
        <v>419</v>
      </c>
      <c r="K198" s="21" t="s">
        <v>69</v>
      </c>
      <c r="L198" s="249"/>
      <c r="M198" s="20" t="s">
        <v>31</v>
      </c>
      <c r="N198" s="21" t="s">
        <v>69</v>
      </c>
      <c r="O198" s="290"/>
      <c r="P198" s="75" t="s">
        <v>53</v>
      </c>
      <c r="R198" s="228"/>
      <c r="W198" s="294" t="s">
        <v>742</v>
      </c>
      <c r="X198" s="310" t="s">
        <v>761</v>
      </c>
    </row>
    <row r="199" spans="1:25" ht="83.45" customHeight="1" thickBot="1" x14ac:dyDescent="0.25">
      <c r="A199" s="145" t="s">
        <v>420</v>
      </c>
      <c r="B199" s="49" t="s">
        <v>421</v>
      </c>
      <c r="C199" s="97">
        <v>0.08</v>
      </c>
      <c r="D199" s="97">
        <v>0.04</v>
      </c>
      <c r="E199" s="97">
        <v>0.19</v>
      </c>
      <c r="F199" s="90">
        <v>0.42499999999999999</v>
      </c>
      <c r="G199" s="90">
        <v>0.4375</v>
      </c>
      <c r="H199" s="90">
        <v>0.92749999999999999</v>
      </c>
      <c r="I199" s="90">
        <v>0.29249999999999998</v>
      </c>
      <c r="J199" s="141">
        <v>1</v>
      </c>
      <c r="K199" s="259">
        <v>1</v>
      </c>
      <c r="L199" s="259">
        <v>1</v>
      </c>
      <c r="M199" s="21" t="s">
        <v>27</v>
      </c>
      <c r="N199" s="259">
        <v>1</v>
      </c>
      <c r="O199" s="27"/>
      <c r="P199" s="276" t="s">
        <v>53</v>
      </c>
      <c r="R199" s="220" t="s">
        <v>625</v>
      </c>
      <c r="W199" s="294" t="s">
        <v>716</v>
      </c>
      <c r="X199" s="309" t="s">
        <v>786</v>
      </c>
    </row>
    <row r="200" spans="1:25" ht="138.6" customHeight="1" thickBot="1" x14ac:dyDescent="0.25">
      <c r="A200" s="145" t="s">
        <v>422</v>
      </c>
      <c r="B200" s="49" t="s">
        <v>423</v>
      </c>
      <c r="C200" s="50">
        <v>2</v>
      </c>
      <c r="D200" s="50">
        <v>0</v>
      </c>
      <c r="E200" s="50">
        <v>2</v>
      </c>
      <c r="F200" s="50">
        <v>0</v>
      </c>
      <c r="G200" s="50">
        <v>1</v>
      </c>
      <c r="H200" s="50">
        <v>0</v>
      </c>
      <c r="I200" s="50">
        <v>5</v>
      </c>
      <c r="J200" s="146">
        <v>0</v>
      </c>
      <c r="K200" s="20">
        <f>0-8</f>
        <v>-8</v>
      </c>
      <c r="L200" s="39">
        <f>K200/8</f>
        <v>-1</v>
      </c>
      <c r="M200" s="20" t="s">
        <v>92</v>
      </c>
      <c r="N200" s="16">
        <f>J200/I200-1</f>
        <v>-1</v>
      </c>
      <c r="O200" s="290"/>
      <c r="P200" s="275">
        <v>2522</v>
      </c>
      <c r="R200" s="221"/>
      <c r="W200" s="295" t="s">
        <v>740</v>
      </c>
      <c r="X200" s="310" t="s">
        <v>785</v>
      </c>
      <c r="Y200" s="271"/>
    </row>
    <row r="201" spans="1:25" ht="104.45" customHeight="1" thickBot="1" x14ac:dyDescent="0.25">
      <c r="A201" s="145" t="s">
        <v>424</v>
      </c>
      <c r="B201" s="49" t="s">
        <v>425</v>
      </c>
      <c r="C201" s="50">
        <v>14</v>
      </c>
      <c r="D201" s="50">
        <v>11</v>
      </c>
      <c r="E201" s="50">
        <v>14</v>
      </c>
      <c r="F201" s="50">
        <v>25</v>
      </c>
      <c r="G201" s="50">
        <v>16</v>
      </c>
      <c r="H201" s="50">
        <v>16</v>
      </c>
      <c r="I201" s="50">
        <v>15</v>
      </c>
      <c r="J201" s="53" t="s">
        <v>426</v>
      </c>
      <c r="K201" s="20">
        <f>11-18</f>
        <v>-7</v>
      </c>
      <c r="L201" s="39">
        <f>K201/18</f>
        <v>-0.3888888888888889</v>
      </c>
      <c r="M201" s="20" t="s">
        <v>31</v>
      </c>
      <c r="N201" s="16">
        <f>11/I201-1</f>
        <v>-0.26666666666666672</v>
      </c>
      <c r="O201" s="292"/>
      <c r="P201" s="142" t="s">
        <v>427</v>
      </c>
      <c r="R201" s="220" t="s">
        <v>626</v>
      </c>
      <c r="W201" s="294" t="s">
        <v>739</v>
      </c>
      <c r="X201" s="310" t="s">
        <v>762</v>
      </c>
    </row>
    <row r="202" spans="1:25" ht="69" customHeight="1" thickBot="1" x14ac:dyDescent="0.25">
      <c r="A202" s="145" t="s">
        <v>428</v>
      </c>
      <c r="B202" s="49" t="s">
        <v>429</v>
      </c>
      <c r="C202" s="50">
        <v>350</v>
      </c>
      <c r="D202" s="50">
        <v>291</v>
      </c>
      <c r="E202" s="50">
        <v>150</v>
      </c>
      <c r="F202" s="50">
        <v>214</v>
      </c>
      <c r="G202" s="50">
        <v>300</v>
      </c>
      <c r="H202" s="50">
        <v>346</v>
      </c>
      <c r="I202" s="50">
        <v>100</v>
      </c>
      <c r="J202" s="146">
        <v>138</v>
      </c>
      <c r="K202" s="21">
        <f>989-960</f>
        <v>29</v>
      </c>
      <c r="L202" s="249">
        <f>989/960-1</f>
        <v>3.0208333333333393E-2</v>
      </c>
      <c r="M202" s="20" t="s">
        <v>31</v>
      </c>
      <c r="N202" s="22">
        <f>J202/I202-1</f>
        <v>0.37999999999999989</v>
      </c>
      <c r="O202" s="292"/>
      <c r="P202" s="142" t="s">
        <v>430</v>
      </c>
      <c r="R202" s="222" t="s">
        <v>627</v>
      </c>
      <c r="W202" s="294" t="s">
        <v>717</v>
      </c>
      <c r="X202" s="310" t="s">
        <v>760</v>
      </c>
    </row>
    <row r="203" spans="1:25" ht="117.6" customHeight="1" thickBot="1" x14ac:dyDescent="0.25">
      <c r="A203" s="145" t="s">
        <v>431</v>
      </c>
      <c r="B203" s="49" t="s">
        <v>432</v>
      </c>
      <c r="C203" s="50">
        <v>1</v>
      </c>
      <c r="D203" s="50">
        <v>0</v>
      </c>
      <c r="E203" s="50">
        <v>1</v>
      </c>
      <c r="F203" s="50">
        <v>0</v>
      </c>
      <c r="G203" s="50">
        <v>1</v>
      </c>
      <c r="H203" s="50">
        <v>1</v>
      </c>
      <c r="I203" s="50">
        <v>1</v>
      </c>
      <c r="J203" s="146">
        <v>1</v>
      </c>
      <c r="K203" s="20">
        <f>(D203+F203+H203+J203)-4</f>
        <v>-2</v>
      </c>
      <c r="L203" s="39">
        <f>K203/4</f>
        <v>-0.5</v>
      </c>
      <c r="M203" s="60" t="s">
        <v>154</v>
      </c>
      <c r="N203" s="21" t="s">
        <v>69</v>
      </c>
      <c r="O203" s="290"/>
      <c r="P203" s="147" t="s">
        <v>53</v>
      </c>
      <c r="R203" s="223"/>
      <c r="W203" s="294" t="s">
        <v>743</v>
      </c>
      <c r="X203" s="310" t="s">
        <v>777</v>
      </c>
    </row>
    <row r="204" spans="1:25" ht="77.099999999999994" customHeight="1" thickBot="1" x14ac:dyDescent="0.25">
      <c r="A204" s="145" t="s">
        <v>433</v>
      </c>
      <c r="B204" s="49" t="s">
        <v>434</v>
      </c>
      <c r="C204" s="50">
        <v>350</v>
      </c>
      <c r="D204" s="50">
        <v>452</v>
      </c>
      <c r="E204" s="50">
        <v>385</v>
      </c>
      <c r="F204" s="50">
        <v>580</v>
      </c>
      <c r="G204" s="50">
        <v>475</v>
      </c>
      <c r="H204" s="50">
        <v>508</v>
      </c>
      <c r="I204" s="50">
        <v>505</v>
      </c>
      <c r="J204" s="146">
        <v>450</v>
      </c>
      <c r="K204" s="20">
        <f>J204-465</f>
        <v>-15</v>
      </c>
      <c r="L204" s="39">
        <f>K204/465</f>
        <v>-3.2258064516129031E-2</v>
      </c>
      <c r="M204" s="20" t="s">
        <v>31</v>
      </c>
      <c r="N204" s="16">
        <f>J204/I204-1</f>
        <v>-0.1089108910891089</v>
      </c>
      <c r="O204" s="290"/>
      <c r="P204" s="276" t="s">
        <v>435</v>
      </c>
      <c r="R204" s="223"/>
      <c r="W204" s="294" t="s">
        <v>718</v>
      </c>
      <c r="X204" s="310" t="s">
        <v>779</v>
      </c>
    </row>
    <row r="205" spans="1:25" ht="89.1" customHeight="1" thickBot="1" x14ac:dyDescent="0.25">
      <c r="A205" s="145" t="s">
        <v>436</v>
      </c>
      <c r="B205" s="49" t="s">
        <v>437</v>
      </c>
      <c r="C205" s="50">
        <v>18</v>
      </c>
      <c r="D205" s="50">
        <v>15</v>
      </c>
      <c r="E205" s="50">
        <v>29</v>
      </c>
      <c r="F205" s="50">
        <v>28</v>
      </c>
      <c r="G205" s="50">
        <v>11</v>
      </c>
      <c r="H205" s="50">
        <v>33</v>
      </c>
      <c r="I205" s="50">
        <v>10</v>
      </c>
      <c r="J205" s="53" t="s">
        <v>438</v>
      </c>
      <c r="K205" s="21">
        <f>99-50</f>
        <v>49</v>
      </c>
      <c r="L205" s="57">
        <f>K205/50</f>
        <v>0.98</v>
      </c>
      <c r="M205" s="20" t="s">
        <v>31</v>
      </c>
      <c r="N205" s="22">
        <f>23/I205-1</f>
        <v>1.2999999999999998</v>
      </c>
      <c r="O205" s="27"/>
      <c r="P205" s="276" t="s">
        <v>439</v>
      </c>
      <c r="R205" s="220" t="s">
        <v>628</v>
      </c>
      <c r="W205" s="294" t="s">
        <v>719</v>
      </c>
      <c r="X205" s="310" t="s">
        <v>778</v>
      </c>
    </row>
    <row r="206" spans="1:25" ht="135.94999999999999" customHeight="1" thickBot="1" x14ac:dyDescent="0.25">
      <c r="A206" s="145" t="s">
        <v>440</v>
      </c>
      <c r="B206" s="49" t="s">
        <v>441</v>
      </c>
      <c r="C206" s="55">
        <v>120000</v>
      </c>
      <c r="D206" s="55">
        <v>114973</v>
      </c>
      <c r="E206" s="55">
        <v>150000</v>
      </c>
      <c r="F206" s="50">
        <v>0</v>
      </c>
      <c r="G206" s="55">
        <v>150000</v>
      </c>
      <c r="H206" s="50">
        <v>0</v>
      </c>
      <c r="I206" s="55">
        <v>150000</v>
      </c>
      <c r="J206" s="53" t="s">
        <v>442</v>
      </c>
      <c r="K206" s="148">
        <f>D206-880000</f>
        <v>-765027</v>
      </c>
      <c r="L206" s="39">
        <f>K206/880000</f>
        <v>-0.86934886363636366</v>
      </c>
      <c r="M206" s="20" t="s">
        <v>92</v>
      </c>
      <c r="N206" s="16">
        <f>0/I206-1</f>
        <v>-1</v>
      </c>
      <c r="O206" s="290"/>
      <c r="P206" s="276">
        <v>4295</v>
      </c>
      <c r="R206" s="228"/>
      <c r="W206" s="294" t="s">
        <v>720</v>
      </c>
      <c r="X206" s="310" t="s">
        <v>757</v>
      </c>
    </row>
    <row r="207" spans="1:25" ht="111.6" customHeight="1" thickBot="1" x14ac:dyDescent="0.25">
      <c r="A207" s="145" t="s">
        <v>443</v>
      </c>
      <c r="B207" s="49" t="s">
        <v>444</v>
      </c>
      <c r="C207" s="97">
        <v>0.5</v>
      </c>
      <c r="D207" s="90">
        <v>0.23400000000000001</v>
      </c>
      <c r="E207" s="97">
        <v>0.6</v>
      </c>
      <c r="F207" s="90">
        <v>0.2349</v>
      </c>
      <c r="G207" s="97">
        <v>0.4</v>
      </c>
      <c r="H207" s="90">
        <v>0.46</v>
      </c>
      <c r="I207" s="97">
        <v>0.7</v>
      </c>
      <c r="J207" s="105">
        <v>0.73350000000000004</v>
      </c>
      <c r="K207" s="38" t="s">
        <v>445</v>
      </c>
      <c r="L207" s="254"/>
      <c r="M207" s="21" t="s">
        <v>27</v>
      </c>
      <c r="N207" s="22">
        <f>J207/I207-1</f>
        <v>4.7857142857143042E-2</v>
      </c>
      <c r="O207" s="290"/>
      <c r="P207" s="276" t="s">
        <v>446</v>
      </c>
      <c r="R207" s="228"/>
      <c r="W207" s="294" t="s">
        <v>721</v>
      </c>
      <c r="X207" s="310" t="s">
        <v>758</v>
      </c>
    </row>
    <row r="208" spans="1:25" ht="24.95" customHeight="1" x14ac:dyDescent="0.2">
      <c r="A208"/>
      <c r="B208"/>
      <c r="C208"/>
      <c r="D208"/>
      <c r="E208"/>
      <c r="F208"/>
      <c r="G208"/>
      <c r="H208"/>
      <c r="I208"/>
      <c r="J208"/>
    </row>
    <row r="209" spans="1:24" ht="30" customHeight="1" x14ac:dyDescent="0.2">
      <c r="A209" s="144" t="s">
        <v>447</v>
      </c>
      <c r="B209"/>
      <c r="C209"/>
      <c r="D209"/>
      <c r="E209"/>
      <c r="F209"/>
      <c r="G209"/>
      <c r="H209"/>
      <c r="I209"/>
      <c r="J209"/>
    </row>
    <row r="210" spans="1:24" ht="30" customHeight="1" x14ac:dyDescent="0.2">
      <c r="A210" s="144" t="s">
        <v>448</v>
      </c>
      <c r="B210"/>
      <c r="C210"/>
      <c r="D210"/>
      <c r="E210"/>
      <c r="F210"/>
      <c r="G210"/>
      <c r="H210"/>
      <c r="I210"/>
      <c r="J210"/>
    </row>
    <row r="211" spans="1:24" ht="30" customHeight="1" x14ac:dyDescent="0.2">
      <c r="A211" s="85" t="s">
        <v>449</v>
      </c>
      <c r="B211"/>
      <c r="C211"/>
      <c r="D211"/>
      <c r="E211"/>
      <c r="F211"/>
      <c r="G211"/>
      <c r="H211"/>
      <c r="I211"/>
      <c r="J211"/>
    </row>
    <row r="212" spans="1:24" ht="30" customHeight="1" x14ac:dyDescent="0.2">
      <c r="A212" s="313" t="s">
        <v>450</v>
      </c>
      <c r="B212" s="313"/>
      <c r="C212" s="313"/>
      <c r="D212" s="313"/>
      <c r="E212" s="313"/>
      <c r="F212" s="313"/>
      <c r="G212" s="313"/>
      <c r="H212" s="313"/>
      <c r="I212" s="313"/>
      <c r="J212" s="313"/>
      <c r="K212" s="313"/>
      <c r="L212" s="313"/>
      <c r="M212" s="313"/>
      <c r="N212" s="313"/>
      <c r="O212" s="313"/>
    </row>
    <row r="213" spans="1:24" ht="23.45" customHeight="1" x14ac:dyDescent="0.2">
      <c r="A213" s="323" t="s">
        <v>0</v>
      </c>
      <c r="B213" s="323"/>
      <c r="C213" s="323"/>
      <c r="D213" s="323"/>
      <c r="E213" s="323"/>
      <c r="F213" s="323"/>
      <c r="G213" s="323"/>
      <c r="H213" s="323"/>
      <c r="I213" s="323"/>
      <c r="J213" s="323"/>
      <c r="K213" s="323"/>
      <c r="L213" s="323"/>
      <c r="M213" s="323"/>
      <c r="N213" s="323"/>
      <c r="O213" s="323"/>
      <c r="P213" s="323"/>
    </row>
    <row r="214" spans="1:24" ht="50.45" customHeight="1" thickBot="1" x14ac:dyDescent="0.25">
      <c r="A214" s="323" t="s">
        <v>451</v>
      </c>
      <c r="B214" s="323"/>
      <c r="C214" s="323"/>
      <c r="D214" s="323"/>
      <c r="E214" s="323"/>
      <c r="F214" s="323"/>
      <c r="G214" s="323"/>
      <c r="H214" s="323"/>
      <c r="I214" s="323"/>
      <c r="J214" s="323"/>
      <c r="K214" s="323"/>
      <c r="L214" s="323"/>
      <c r="M214" s="323"/>
      <c r="N214" s="47"/>
    </row>
    <row r="215" spans="1:24" ht="24.6" customHeight="1" thickBot="1" x14ac:dyDescent="0.25">
      <c r="A215" s="324" t="s">
        <v>2</v>
      </c>
      <c r="B215" s="325"/>
      <c r="C215" s="325"/>
      <c r="D215" s="325"/>
      <c r="E215" s="325"/>
      <c r="F215" s="325"/>
      <c r="G215" s="325"/>
      <c r="H215" s="325"/>
      <c r="I215" s="325"/>
      <c r="J215" s="326"/>
      <c r="K215" s="327" t="s">
        <v>3</v>
      </c>
      <c r="L215" s="328"/>
      <c r="M215" s="328"/>
      <c r="N215" s="328"/>
      <c r="O215" s="328"/>
      <c r="P215" s="328"/>
      <c r="R215" s="266" t="s">
        <v>654</v>
      </c>
      <c r="U215" s="278"/>
      <c r="W215" s="382" t="s">
        <v>679</v>
      </c>
      <c r="X215" s="390" t="s">
        <v>748</v>
      </c>
    </row>
    <row r="216" spans="1:24" ht="29.45" customHeight="1" thickBot="1" x14ac:dyDescent="0.25">
      <c r="A216" s="335" t="s">
        <v>4</v>
      </c>
      <c r="B216" s="71" t="s">
        <v>390</v>
      </c>
      <c r="C216" s="336" t="s">
        <v>6</v>
      </c>
      <c r="D216" s="337"/>
      <c r="E216" s="336" t="s">
        <v>6</v>
      </c>
      <c r="F216" s="337"/>
      <c r="G216" s="336" t="s">
        <v>6</v>
      </c>
      <c r="H216" s="337"/>
      <c r="I216" s="336" t="s">
        <v>6</v>
      </c>
      <c r="J216" s="337"/>
      <c r="K216" s="314" t="s">
        <v>7</v>
      </c>
      <c r="L216" s="322"/>
      <c r="M216" s="314" t="s">
        <v>8</v>
      </c>
      <c r="N216" s="315"/>
      <c r="O216" s="316" t="s">
        <v>9</v>
      </c>
      <c r="P216" s="329" t="s">
        <v>10</v>
      </c>
      <c r="R216" s="379" t="s">
        <v>607</v>
      </c>
      <c r="U216" s="279"/>
      <c r="W216" s="382"/>
      <c r="X216" s="390"/>
    </row>
    <row r="217" spans="1:24" ht="29.45" customHeight="1" thickBot="1" x14ac:dyDescent="0.25">
      <c r="A217" s="331"/>
      <c r="B217" s="331" t="s">
        <v>11</v>
      </c>
      <c r="C217" s="333" t="s">
        <v>12</v>
      </c>
      <c r="D217" s="334"/>
      <c r="E217" s="333" t="s">
        <v>13</v>
      </c>
      <c r="F217" s="334"/>
      <c r="G217" s="333" t="s">
        <v>14</v>
      </c>
      <c r="H217" s="334"/>
      <c r="I217" s="333" t="s">
        <v>15</v>
      </c>
      <c r="J217" s="334"/>
      <c r="K217" s="314" t="s">
        <v>16</v>
      </c>
      <c r="L217" s="322"/>
      <c r="M217" s="314" t="s">
        <v>17</v>
      </c>
      <c r="N217" s="322"/>
      <c r="O217" s="317"/>
      <c r="P217" s="330"/>
      <c r="R217" s="379"/>
      <c r="U217" s="279"/>
      <c r="W217" s="382"/>
      <c r="X217" s="390"/>
    </row>
    <row r="218" spans="1:24" ht="29.45" customHeight="1" thickBot="1" x14ac:dyDescent="0.25">
      <c r="A218" s="332"/>
      <c r="B218" s="332"/>
      <c r="C218" s="72" t="s">
        <v>18</v>
      </c>
      <c r="D218" s="72" t="s">
        <v>19</v>
      </c>
      <c r="E218" s="72" t="s">
        <v>18</v>
      </c>
      <c r="F218" s="72" t="s">
        <v>19</v>
      </c>
      <c r="G218" s="72" t="s">
        <v>18</v>
      </c>
      <c r="H218" s="72" t="s">
        <v>19</v>
      </c>
      <c r="I218" s="72" t="s">
        <v>18</v>
      </c>
      <c r="J218" s="72" t="s">
        <v>19</v>
      </c>
      <c r="K218" s="5" t="s">
        <v>20</v>
      </c>
      <c r="L218" s="248" t="s">
        <v>21</v>
      </c>
      <c r="M218" s="6" t="s">
        <v>22</v>
      </c>
      <c r="N218" s="7" t="s">
        <v>23</v>
      </c>
      <c r="O218" s="318"/>
      <c r="P218" s="318"/>
      <c r="R218" s="380"/>
      <c r="U218" s="279"/>
      <c r="W218" s="382"/>
      <c r="X218" s="390"/>
    </row>
    <row r="219" spans="1:24" ht="72.599999999999994" customHeight="1" thickBot="1" x14ac:dyDescent="0.25">
      <c r="A219" s="48" t="s">
        <v>452</v>
      </c>
      <c r="B219" s="49" t="s">
        <v>453</v>
      </c>
      <c r="C219" s="97">
        <v>0.85</v>
      </c>
      <c r="D219" s="90">
        <v>0.81299999999999994</v>
      </c>
      <c r="E219" s="102">
        <v>0.85499999999999998</v>
      </c>
      <c r="F219" s="90">
        <v>0.90100000000000002</v>
      </c>
      <c r="G219" s="97">
        <v>0.86</v>
      </c>
      <c r="H219" s="90">
        <v>0.8851</v>
      </c>
      <c r="I219" s="97">
        <v>0.75</v>
      </c>
      <c r="J219" s="53" t="s">
        <v>454</v>
      </c>
      <c r="K219" s="34" t="s">
        <v>317</v>
      </c>
      <c r="L219" s="249"/>
      <c r="M219" s="20" t="s">
        <v>31</v>
      </c>
      <c r="N219" s="34" t="s">
        <v>455</v>
      </c>
      <c r="O219" s="290"/>
      <c r="P219" s="75">
        <v>8719</v>
      </c>
      <c r="R219" s="228"/>
      <c r="W219" s="294" t="s">
        <v>722</v>
      </c>
      <c r="X219" s="310" t="s">
        <v>780</v>
      </c>
    </row>
    <row r="220" spans="1:24" ht="72.599999999999994" customHeight="1" thickBot="1" x14ac:dyDescent="0.25">
      <c r="A220" s="48" t="s">
        <v>456</v>
      </c>
      <c r="B220" s="49" t="s">
        <v>457</v>
      </c>
      <c r="C220" s="50" t="s">
        <v>458</v>
      </c>
      <c r="D220" s="50" t="s">
        <v>459</v>
      </c>
      <c r="E220" s="51" t="s">
        <v>460</v>
      </c>
      <c r="F220" s="123" t="s">
        <v>461</v>
      </c>
      <c r="G220" s="50" t="s">
        <v>458</v>
      </c>
      <c r="H220" s="50" t="s">
        <v>462</v>
      </c>
      <c r="I220" s="50" t="s">
        <v>458</v>
      </c>
      <c r="J220" s="146" t="s">
        <v>463</v>
      </c>
      <c r="K220" s="38" t="s">
        <v>464</v>
      </c>
      <c r="L220" s="254"/>
      <c r="M220" s="38" t="s">
        <v>27</v>
      </c>
      <c r="N220" s="38" t="s">
        <v>465</v>
      </c>
      <c r="O220" s="290"/>
      <c r="P220" s="276">
        <v>8719</v>
      </c>
      <c r="R220" s="228"/>
      <c r="W220" s="294" t="s">
        <v>744</v>
      </c>
      <c r="X220" s="310" t="s">
        <v>750</v>
      </c>
    </row>
    <row r="221" spans="1:24" ht="72.599999999999994" customHeight="1" thickBot="1" x14ac:dyDescent="0.25">
      <c r="A221" s="48" t="s">
        <v>466</v>
      </c>
      <c r="B221" s="49" t="s">
        <v>467</v>
      </c>
      <c r="C221" s="97">
        <v>0.45</v>
      </c>
      <c r="D221" s="90">
        <v>0.63300000000000001</v>
      </c>
      <c r="E221" s="101">
        <v>0.5</v>
      </c>
      <c r="F221" s="103">
        <v>0.58299999999999996</v>
      </c>
      <c r="G221" s="97">
        <v>0.55000000000000004</v>
      </c>
      <c r="H221" s="90">
        <v>0.79600000000000004</v>
      </c>
      <c r="I221" s="97">
        <v>0.7</v>
      </c>
      <c r="J221" s="105">
        <v>0.91210000000000002</v>
      </c>
      <c r="K221" s="34" t="s">
        <v>468</v>
      </c>
      <c r="L221" s="249"/>
      <c r="M221" s="21" t="s">
        <v>27</v>
      </c>
      <c r="N221" s="34" t="s">
        <v>469</v>
      </c>
      <c r="O221" s="290"/>
      <c r="P221" s="276">
        <v>8719</v>
      </c>
      <c r="R221" s="228"/>
      <c r="W221" s="294" t="s">
        <v>723</v>
      </c>
      <c r="X221" s="309" t="s">
        <v>786</v>
      </c>
    </row>
    <row r="222" spans="1:24" ht="89.1" customHeight="1" thickBot="1" x14ac:dyDescent="0.25">
      <c r="A222" s="48" t="s">
        <v>470</v>
      </c>
      <c r="B222" s="49" t="s">
        <v>471</v>
      </c>
      <c r="C222" s="50">
        <v>4</v>
      </c>
      <c r="D222" s="50">
        <v>0</v>
      </c>
      <c r="E222" s="51">
        <v>6</v>
      </c>
      <c r="F222" s="121">
        <v>0</v>
      </c>
      <c r="G222" s="50">
        <v>8</v>
      </c>
      <c r="H222" s="51">
        <v>3</v>
      </c>
      <c r="I222" s="51">
        <v>10</v>
      </c>
      <c r="J222" s="146">
        <v>3</v>
      </c>
      <c r="K222" s="20">
        <f>H222-10</f>
        <v>-7</v>
      </c>
      <c r="L222" s="39">
        <f>K222/10</f>
        <v>-0.7</v>
      </c>
      <c r="M222" s="60" t="s">
        <v>154</v>
      </c>
      <c r="N222" s="16">
        <f>J222/I222-1</f>
        <v>-0.7</v>
      </c>
      <c r="O222" s="290"/>
      <c r="P222" s="276">
        <v>8719</v>
      </c>
      <c r="R222" s="228"/>
      <c r="W222" s="294" t="s">
        <v>745</v>
      </c>
      <c r="X222" s="310" t="s">
        <v>749</v>
      </c>
    </row>
    <row r="223" spans="1:24" ht="72.599999999999994" customHeight="1" thickBot="1" x14ac:dyDescent="0.25">
      <c r="A223" s="48" t="s">
        <v>472</v>
      </c>
      <c r="B223" s="49" t="s">
        <v>473</v>
      </c>
      <c r="C223" s="50">
        <v>6</v>
      </c>
      <c r="D223" s="50">
        <v>2</v>
      </c>
      <c r="E223" s="51">
        <v>6</v>
      </c>
      <c r="F223" s="123">
        <v>2</v>
      </c>
      <c r="G223" s="50">
        <v>1</v>
      </c>
      <c r="H223" s="50">
        <v>0</v>
      </c>
      <c r="I223" s="50">
        <v>1</v>
      </c>
      <c r="J223" s="53" t="s">
        <v>474</v>
      </c>
      <c r="K223" s="21" t="s">
        <v>69</v>
      </c>
      <c r="L223" s="57"/>
      <c r="M223" s="21" t="s">
        <v>27</v>
      </c>
      <c r="N223" s="22">
        <f>2/I223-1</f>
        <v>1</v>
      </c>
      <c r="O223" s="27"/>
      <c r="P223" s="276">
        <v>8719</v>
      </c>
      <c r="R223" s="220" t="s">
        <v>629</v>
      </c>
      <c r="W223" s="294" t="s">
        <v>724</v>
      </c>
      <c r="X223" s="310" t="s">
        <v>788</v>
      </c>
    </row>
    <row r="224" spans="1:24" ht="20.45" customHeight="1" x14ac:dyDescent="0.2">
      <c r="A224"/>
      <c r="B224"/>
      <c r="C224"/>
      <c r="D224"/>
      <c r="E224"/>
      <c r="F224"/>
      <c r="G224"/>
      <c r="H224"/>
      <c r="I224"/>
      <c r="J224"/>
      <c r="X224" s="308"/>
    </row>
    <row r="225" spans="1:24" ht="26.1" customHeight="1" x14ac:dyDescent="0.2">
      <c r="A225" s="313" t="s">
        <v>475</v>
      </c>
      <c r="B225" s="313"/>
      <c r="C225" s="313"/>
      <c r="D225" s="313"/>
      <c r="E225" s="313"/>
      <c r="F225" s="313"/>
      <c r="G225" s="313"/>
      <c r="H225" s="313"/>
      <c r="I225" s="313"/>
      <c r="J225" s="313"/>
      <c r="K225" s="313"/>
      <c r="L225" s="313"/>
      <c r="M225" s="313"/>
      <c r="N225" s="313"/>
      <c r="O225" s="313"/>
      <c r="X225" s="308"/>
    </row>
    <row r="226" spans="1:24" ht="26.1" customHeight="1" x14ac:dyDescent="0.2">
      <c r="A226" s="313" t="s">
        <v>476</v>
      </c>
      <c r="B226" s="313"/>
      <c r="C226" s="313"/>
      <c r="D226" s="313"/>
      <c r="E226" s="313"/>
      <c r="F226" s="313"/>
      <c r="G226" s="313"/>
      <c r="H226" s="313"/>
      <c r="I226" s="313"/>
      <c r="J226" s="313"/>
      <c r="K226" s="313"/>
      <c r="L226" s="313"/>
      <c r="M226" s="313"/>
      <c r="N226" s="313"/>
      <c r="O226" s="313"/>
      <c r="X226" s="308"/>
    </row>
    <row r="227" spans="1:24" ht="22.5" customHeight="1" x14ac:dyDescent="0.2">
      <c r="A227" s="323" t="s">
        <v>0</v>
      </c>
      <c r="B227" s="323"/>
      <c r="C227" s="323"/>
      <c r="D227" s="323"/>
      <c r="E227" s="323"/>
      <c r="F227" s="323"/>
      <c r="G227" s="323"/>
      <c r="H227" s="323"/>
      <c r="I227" s="323"/>
      <c r="J227" s="323"/>
      <c r="K227" s="323"/>
      <c r="L227" s="323"/>
      <c r="M227" s="323"/>
      <c r="N227" s="323"/>
      <c r="O227" s="323"/>
      <c r="P227" s="323"/>
    </row>
    <row r="228" spans="1:24" ht="50.45" customHeight="1" thickBot="1" x14ac:dyDescent="0.25">
      <c r="A228" s="323" t="s">
        <v>477</v>
      </c>
      <c r="B228" s="323"/>
      <c r="C228" s="323"/>
      <c r="D228" s="323"/>
      <c r="E228" s="323"/>
      <c r="F228" s="323"/>
      <c r="G228" s="323"/>
      <c r="H228" s="323"/>
      <c r="I228" s="323"/>
      <c r="J228" s="323"/>
      <c r="K228" s="323"/>
      <c r="L228" s="323"/>
      <c r="M228" s="323"/>
      <c r="N228" s="47"/>
    </row>
    <row r="229" spans="1:24" ht="23.45" customHeight="1" thickBot="1" x14ac:dyDescent="0.25">
      <c r="A229" s="324" t="s">
        <v>2</v>
      </c>
      <c r="B229" s="325"/>
      <c r="C229" s="325"/>
      <c r="D229" s="325"/>
      <c r="E229" s="325"/>
      <c r="F229" s="325"/>
      <c r="G229" s="325"/>
      <c r="H229" s="325"/>
      <c r="I229" s="325"/>
      <c r="J229" s="326"/>
      <c r="K229" s="327" t="s">
        <v>3</v>
      </c>
      <c r="L229" s="328"/>
      <c r="M229" s="328"/>
      <c r="N229" s="328"/>
      <c r="O229" s="328"/>
      <c r="P229" s="328"/>
      <c r="R229" s="266" t="s">
        <v>654</v>
      </c>
      <c r="U229" s="278"/>
      <c r="W229" s="382" t="s">
        <v>679</v>
      </c>
      <c r="X229" s="391" t="s">
        <v>748</v>
      </c>
    </row>
    <row r="230" spans="1:24" ht="29.1" customHeight="1" thickBot="1" x14ac:dyDescent="0.25">
      <c r="A230" s="335" t="s">
        <v>4</v>
      </c>
      <c r="B230" s="149" t="s">
        <v>5</v>
      </c>
      <c r="C230" s="336" t="s">
        <v>6</v>
      </c>
      <c r="D230" s="337"/>
      <c r="E230" s="336" t="s">
        <v>6</v>
      </c>
      <c r="F230" s="337"/>
      <c r="G230" s="336" t="s">
        <v>6</v>
      </c>
      <c r="H230" s="337"/>
      <c r="I230" s="336" t="s">
        <v>6</v>
      </c>
      <c r="J230" s="337"/>
      <c r="K230" s="314" t="s">
        <v>7</v>
      </c>
      <c r="L230" s="322"/>
      <c r="M230" s="314" t="s">
        <v>8</v>
      </c>
      <c r="N230" s="315"/>
      <c r="O230" s="316" t="s">
        <v>9</v>
      </c>
      <c r="P230" s="329" t="s">
        <v>10</v>
      </c>
      <c r="R230" s="379" t="s">
        <v>607</v>
      </c>
      <c r="U230" s="279"/>
      <c r="W230" s="382"/>
      <c r="X230" s="391"/>
    </row>
    <row r="231" spans="1:24" ht="29.1" customHeight="1" thickBot="1" x14ac:dyDescent="0.25">
      <c r="A231" s="331"/>
      <c r="B231" s="331" t="s">
        <v>11</v>
      </c>
      <c r="C231" s="333" t="s">
        <v>12</v>
      </c>
      <c r="D231" s="334"/>
      <c r="E231" s="333" t="s">
        <v>13</v>
      </c>
      <c r="F231" s="334"/>
      <c r="G231" s="333" t="s">
        <v>14</v>
      </c>
      <c r="H231" s="334"/>
      <c r="I231" s="333" t="s">
        <v>15</v>
      </c>
      <c r="J231" s="334"/>
      <c r="K231" s="314" t="s">
        <v>16</v>
      </c>
      <c r="L231" s="322"/>
      <c r="M231" s="314" t="s">
        <v>17</v>
      </c>
      <c r="N231" s="322"/>
      <c r="O231" s="317"/>
      <c r="P231" s="330"/>
      <c r="R231" s="379"/>
      <c r="U231" s="279"/>
      <c r="W231" s="382"/>
      <c r="X231" s="391"/>
    </row>
    <row r="232" spans="1:24" ht="29.1" customHeight="1" thickBot="1" x14ac:dyDescent="0.25">
      <c r="A232" s="332"/>
      <c r="B232" s="332"/>
      <c r="C232" s="71" t="s">
        <v>18</v>
      </c>
      <c r="D232" s="87" t="s">
        <v>19</v>
      </c>
      <c r="E232" s="72" t="s">
        <v>18</v>
      </c>
      <c r="F232" s="87" t="s">
        <v>19</v>
      </c>
      <c r="G232" s="72" t="s">
        <v>18</v>
      </c>
      <c r="H232" s="72" t="s">
        <v>19</v>
      </c>
      <c r="I232" s="72" t="s">
        <v>18</v>
      </c>
      <c r="J232" s="72" t="s">
        <v>19</v>
      </c>
      <c r="K232" s="5" t="s">
        <v>20</v>
      </c>
      <c r="L232" s="248" t="s">
        <v>21</v>
      </c>
      <c r="M232" s="6" t="s">
        <v>22</v>
      </c>
      <c r="N232" s="7" t="s">
        <v>23</v>
      </c>
      <c r="O232" s="318"/>
      <c r="P232" s="318"/>
      <c r="R232" s="380"/>
      <c r="U232" s="279"/>
      <c r="W232" s="382"/>
      <c r="X232" s="391"/>
    </row>
    <row r="233" spans="1:24" ht="92.45" customHeight="1" thickBot="1" x14ac:dyDescent="0.25">
      <c r="A233" s="150" t="s">
        <v>478</v>
      </c>
      <c r="B233" s="151" t="s">
        <v>479</v>
      </c>
      <c r="C233" s="152">
        <v>0.25</v>
      </c>
      <c r="D233" s="97">
        <v>0</v>
      </c>
      <c r="E233" s="97">
        <v>0.4</v>
      </c>
      <c r="F233" s="97">
        <v>0.4</v>
      </c>
      <c r="G233" s="97">
        <v>0.7</v>
      </c>
      <c r="H233" s="97">
        <v>0.7</v>
      </c>
      <c r="I233" s="97">
        <v>1</v>
      </c>
      <c r="J233" s="141">
        <v>0.95</v>
      </c>
      <c r="K233" s="38" t="s">
        <v>480</v>
      </c>
      <c r="L233" s="254"/>
      <c r="M233" s="21" t="s">
        <v>27</v>
      </c>
      <c r="N233" s="38" t="s">
        <v>481</v>
      </c>
      <c r="O233" s="290"/>
      <c r="P233" s="274" t="s">
        <v>482</v>
      </c>
      <c r="R233" s="228"/>
      <c r="W233" s="294" t="s">
        <v>725</v>
      </c>
      <c r="X233" s="310" t="s">
        <v>759</v>
      </c>
    </row>
    <row r="234" spans="1:24" ht="99" customHeight="1" thickBot="1" x14ac:dyDescent="0.25">
      <c r="A234" s="153" t="s">
        <v>483</v>
      </c>
      <c r="B234" s="154" t="s">
        <v>484</v>
      </c>
      <c r="C234" s="97">
        <v>0.65</v>
      </c>
      <c r="D234" s="90">
        <v>0.76339999999999997</v>
      </c>
      <c r="E234" s="97">
        <v>0.65</v>
      </c>
      <c r="F234" s="90">
        <v>0.98950000000000005</v>
      </c>
      <c r="G234" s="97">
        <v>0.7</v>
      </c>
      <c r="H234" s="90">
        <v>0.90920000000000001</v>
      </c>
      <c r="I234" s="97">
        <v>0.7</v>
      </c>
      <c r="J234" s="53" t="s">
        <v>651</v>
      </c>
      <c r="K234" s="260">
        <v>6.9099999999999995E-2</v>
      </c>
      <c r="L234" s="261">
        <f>76.91/70-1</f>
        <v>9.8714285714285754E-2</v>
      </c>
      <c r="M234" s="233" t="s">
        <v>31</v>
      </c>
      <c r="N234" s="261">
        <f>76.91/70-1</f>
        <v>9.8714285714285754E-2</v>
      </c>
      <c r="O234" s="27"/>
      <c r="P234" s="274" t="s">
        <v>482</v>
      </c>
      <c r="R234" s="230" t="s">
        <v>635</v>
      </c>
      <c r="X234" s="307"/>
    </row>
    <row r="235" spans="1:24" ht="50.45" customHeight="1" thickBot="1" x14ac:dyDescent="0.25">
      <c r="A235" s="153" t="s">
        <v>485</v>
      </c>
      <c r="B235" s="154" t="s">
        <v>486</v>
      </c>
      <c r="C235" s="97">
        <v>0.25</v>
      </c>
      <c r="D235" s="97">
        <v>0</v>
      </c>
      <c r="E235" s="155">
        <v>0.5</v>
      </c>
      <c r="F235" s="155">
        <v>0.5</v>
      </c>
      <c r="G235" s="155">
        <v>1</v>
      </c>
      <c r="H235" s="155">
        <v>1</v>
      </c>
      <c r="I235" s="155">
        <v>1</v>
      </c>
      <c r="J235" s="156">
        <v>1</v>
      </c>
      <c r="K235" s="21" t="s">
        <v>69</v>
      </c>
      <c r="L235" s="249"/>
      <c r="M235" s="60" t="s">
        <v>154</v>
      </c>
      <c r="N235" s="21" t="s">
        <v>69</v>
      </c>
      <c r="O235" s="290"/>
      <c r="P235" s="157">
        <v>4339</v>
      </c>
      <c r="R235" s="228"/>
      <c r="X235" s="307"/>
    </row>
    <row r="236" spans="1:24" ht="24.95" customHeight="1" x14ac:dyDescent="0.2">
      <c r="A236"/>
      <c r="B236"/>
      <c r="C236"/>
      <c r="D236"/>
      <c r="E236"/>
      <c r="F236"/>
      <c r="G236"/>
      <c r="H236"/>
      <c r="I236"/>
      <c r="J236"/>
      <c r="P236" s="158"/>
    </row>
    <row r="237" spans="1:24" ht="22.5" customHeight="1" x14ac:dyDescent="0.2">
      <c r="A237" s="313" t="s">
        <v>487</v>
      </c>
      <c r="B237" s="313"/>
      <c r="C237" s="313"/>
      <c r="D237" s="313"/>
      <c r="E237" s="313"/>
      <c r="F237" s="313"/>
      <c r="G237" s="313"/>
      <c r="H237" s="313"/>
      <c r="I237" s="313"/>
      <c r="J237" s="313"/>
      <c r="K237" s="313"/>
      <c r="L237" s="313"/>
      <c r="M237" s="313"/>
      <c r="N237" s="85"/>
    </row>
    <row r="238" spans="1:24" ht="22.5" customHeight="1" x14ac:dyDescent="0.2">
      <c r="A238" s="313" t="s">
        <v>488</v>
      </c>
      <c r="B238" s="313"/>
      <c r="C238" s="313"/>
      <c r="D238" s="313"/>
      <c r="E238" s="313"/>
      <c r="F238" s="313"/>
      <c r="G238" s="313"/>
      <c r="H238" s="313"/>
      <c r="I238" s="313"/>
      <c r="J238" s="313"/>
      <c r="K238" s="313"/>
      <c r="L238" s="313"/>
      <c r="M238" s="313"/>
      <c r="N238" s="85"/>
    </row>
    <row r="239" spans="1:24" ht="25.5" customHeight="1" x14ac:dyDescent="0.2">
      <c r="A239" s="323" t="s">
        <v>0</v>
      </c>
      <c r="B239" s="323"/>
      <c r="C239" s="323"/>
      <c r="D239" s="323"/>
      <c r="E239" s="323"/>
      <c r="F239" s="323"/>
      <c r="G239" s="323"/>
      <c r="H239" s="323"/>
      <c r="I239" s="323"/>
      <c r="J239" s="323"/>
      <c r="K239" s="323"/>
      <c r="L239" s="323"/>
      <c r="M239" s="323"/>
      <c r="N239" s="323"/>
      <c r="O239" s="323"/>
      <c r="P239" s="323"/>
    </row>
    <row r="240" spans="1:24" ht="50.45" customHeight="1" thickBot="1" x14ac:dyDescent="0.25">
      <c r="A240" s="323" t="s">
        <v>489</v>
      </c>
      <c r="B240" s="323"/>
      <c r="C240" s="323"/>
      <c r="D240" s="323"/>
      <c r="E240" s="323"/>
      <c r="F240" s="323"/>
      <c r="G240" s="323"/>
      <c r="H240" s="323"/>
      <c r="I240" s="323"/>
      <c r="J240" s="323"/>
      <c r="K240" s="323"/>
      <c r="L240" s="323"/>
      <c r="M240" s="323"/>
      <c r="N240" s="47"/>
    </row>
    <row r="241" spans="1:24" ht="23.45" customHeight="1" thickBot="1" x14ac:dyDescent="0.25">
      <c r="A241" s="324" t="s">
        <v>2</v>
      </c>
      <c r="B241" s="325"/>
      <c r="C241" s="325"/>
      <c r="D241" s="325"/>
      <c r="E241" s="325"/>
      <c r="F241" s="325"/>
      <c r="G241" s="325"/>
      <c r="H241" s="325"/>
      <c r="I241" s="325"/>
      <c r="J241" s="326"/>
      <c r="K241" s="327" t="s">
        <v>3</v>
      </c>
      <c r="L241" s="328"/>
      <c r="M241" s="328"/>
      <c r="N241" s="328"/>
      <c r="O241" s="328"/>
      <c r="P241" s="328"/>
      <c r="R241" s="266" t="s">
        <v>654</v>
      </c>
      <c r="U241" s="278"/>
      <c r="W241" s="382" t="s">
        <v>679</v>
      </c>
      <c r="X241" s="386" t="s">
        <v>748</v>
      </c>
    </row>
    <row r="242" spans="1:24" ht="27.95" customHeight="1" thickBot="1" x14ac:dyDescent="0.25">
      <c r="A242" s="335" t="s">
        <v>4</v>
      </c>
      <c r="B242" s="71" t="s">
        <v>5</v>
      </c>
      <c r="C242" s="336" t="s">
        <v>6</v>
      </c>
      <c r="D242" s="337"/>
      <c r="E242" s="336" t="s">
        <v>6</v>
      </c>
      <c r="F242" s="337"/>
      <c r="G242" s="336" t="s">
        <v>6</v>
      </c>
      <c r="H242" s="337"/>
      <c r="I242" s="336" t="s">
        <v>6</v>
      </c>
      <c r="J242" s="337"/>
      <c r="K242" s="314" t="s">
        <v>7</v>
      </c>
      <c r="L242" s="322"/>
      <c r="M242" s="314" t="s">
        <v>8</v>
      </c>
      <c r="N242" s="315"/>
      <c r="O242" s="316" t="s">
        <v>9</v>
      </c>
      <c r="P242" s="329" t="s">
        <v>10</v>
      </c>
      <c r="R242" s="379" t="s">
        <v>607</v>
      </c>
      <c r="U242" s="279"/>
      <c r="W242" s="382"/>
      <c r="X242" s="386"/>
    </row>
    <row r="243" spans="1:24" ht="27.95" customHeight="1" thickBot="1" x14ac:dyDescent="0.25">
      <c r="A243" s="331"/>
      <c r="B243" s="331" t="s">
        <v>11</v>
      </c>
      <c r="C243" s="333" t="s">
        <v>12</v>
      </c>
      <c r="D243" s="334"/>
      <c r="E243" s="333" t="s">
        <v>13</v>
      </c>
      <c r="F243" s="334"/>
      <c r="G243" s="333" t="s">
        <v>14</v>
      </c>
      <c r="H243" s="334"/>
      <c r="I243" s="333" t="s">
        <v>15</v>
      </c>
      <c r="J243" s="334"/>
      <c r="K243" s="314" t="s">
        <v>16</v>
      </c>
      <c r="L243" s="322"/>
      <c r="M243" s="314" t="s">
        <v>17</v>
      </c>
      <c r="N243" s="322"/>
      <c r="O243" s="317"/>
      <c r="P243" s="330"/>
      <c r="R243" s="379"/>
      <c r="U243" s="279"/>
      <c r="W243" s="382"/>
      <c r="X243" s="386"/>
    </row>
    <row r="244" spans="1:24" ht="27.95" customHeight="1" thickBot="1" x14ac:dyDescent="0.25">
      <c r="A244" s="332"/>
      <c r="B244" s="332"/>
      <c r="C244" s="72" t="s">
        <v>18</v>
      </c>
      <c r="D244" s="72" t="s">
        <v>19</v>
      </c>
      <c r="E244" s="72" t="s">
        <v>18</v>
      </c>
      <c r="F244" s="72" t="s">
        <v>19</v>
      </c>
      <c r="G244" s="72" t="s">
        <v>18</v>
      </c>
      <c r="H244" s="72" t="s">
        <v>19</v>
      </c>
      <c r="I244" s="72" t="s">
        <v>18</v>
      </c>
      <c r="J244" s="72" t="s">
        <v>19</v>
      </c>
      <c r="K244" s="5" t="s">
        <v>20</v>
      </c>
      <c r="L244" s="248" t="s">
        <v>21</v>
      </c>
      <c r="M244" s="6" t="s">
        <v>22</v>
      </c>
      <c r="N244" s="7" t="s">
        <v>23</v>
      </c>
      <c r="O244" s="318"/>
      <c r="P244" s="318"/>
      <c r="R244" s="380"/>
      <c r="U244" s="279"/>
      <c r="W244" s="382"/>
      <c r="X244" s="386"/>
    </row>
    <row r="245" spans="1:24" ht="81" customHeight="1" thickBot="1" x14ac:dyDescent="0.25">
      <c r="A245" s="153" t="s">
        <v>490</v>
      </c>
      <c r="B245" s="154" t="s">
        <v>491</v>
      </c>
      <c r="C245" s="55">
        <v>7000</v>
      </c>
      <c r="D245" s="56">
        <v>15114</v>
      </c>
      <c r="E245" s="55">
        <v>8000</v>
      </c>
      <c r="F245" s="56">
        <v>8754</v>
      </c>
      <c r="G245" s="55">
        <v>9000</v>
      </c>
      <c r="H245" s="55">
        <v>9697</v>
      </c>
      <c r="I245" s="55">
        <v>6386</v>
      </c>
      <c r="J245" s="128">
        <v>10974</v>
      </c>
      <c r="K245" s="35">
        <f>(D245+F245+H245+J245)-38500</f>
        <v>6039</v>
      </c>
      <c r="L245" s="57">
        <f>K245/38500</f>
        <v>0.15685714285714286</v>
      </c>
      <c r="M245" s="21" t="s">
        <v>27</v>
      </c>
      <c r="N245" s="22">
        <f>J245/I245-1</f>
        <v>0.71844660194174748</v>
      </c>
      <c r="O245" s="290"/>
      <c r="P245" s="75" t="s">
        <v>492</v>
      </c>
      <c r="W245" s="294" t="s">
        <v>726</v>
      </c>
      <c r="X245" s="310" t="s">
        <v>763</v>
      </c>
    </row>
    <row r="246" spans="1:24" ht="67.5" customHeight="1" thickBot="1" x14ac:dyDescent="0.25">
      <c r="A246" s="153" t="s">
        <v>493</v>
      </c>
      <c r="B246" s="154" t="s">
        <v>494</v>
      </c>
      <c r="C246" s="55">
        <v>65000</v>
      </c>
      <c r="D246" s="159">
        <v>137774</v>
      </c>
      <c r="E246" s="55">
        <v>37128</v>
      </c>
      <c r="F246" s="56">
        <v>200633</v>
      </c>
      <c r="G246" s="55">
        <v>110000</v>
      </c>
      <c r="H246" s="55">
        <v>381912</v>
      </c>
      <c r="I246" s="55">
        <v>95098</v>
      </c>
      <c r="J246" s="128">
        <v>530154</v>
      </c>
      <c r="K246" s="35">
        <f>(D246+F246+H246+J246)-380000</f>
        <v>870473</v>
      </c>
      <c r="L246" s="57">
        <f>(1250473)/380000-1</f>
        <v>2.2907184210526315</v>
      </c>
      <c r="M246" s="21" t="s">
        <v>27</v>
      </c>
      <c r="N246" s="57">
        <f>J246/I246-1</f>
        <v>4.5748175566257965</v>
      </c>
      <c r="O246" s="27"/>
      <c r="P246" s="160" t="s">
        <v>495</v>
      </c>
      <c r="R246" s="224" t="s">
        <v>630</v>
      </c>
      <c r="X246" s="307"/>
    </row>
    <row r="247" spans="1:24" ht="98.1" customHeight="1" thickBot="1" x14ac:dyDescent="0.25">
      <c r="A247" s="153" t="s">
        <v>496</v>
      </c>
      <c r="B247" s="154" t="s">
        <v>497</v>
      </c>
      <c r="C247" s="50">
        <v>25</v>
      </c>
      <c r="D247" s="51">
        <v>0</v>
      </c>
      <c r="E247" s="50">
        <v>25</v>
      </c>
      <c r="F247" s="50">
        <v>21</v>
      </c>
      <c r="G247" s="50">
        <v>50</v>
      </c>
      <c r="H247" s="50">
        <v>0</v>
      </c>
      <c r="I247" s="50">
        <v>0</v>
      </c>
      <c r="J247" s="146">
        <v>0</v>
      </c>
      <c r="K247" s="18">
        <f>(D247+F247+H247+J247)-100</f>
        <v>-79</v>
      </c>
      <c r="L247" s="39">
        <f>K247/100</f>
        <v>-0.79</v>
      </c>
      <c r="M247" s="20" t="s">
        <v>92</v>
      </c>
      <c r="N247" s="21" t="s">
        <v>69</v>
      </c>
      <c r="O247" s="290"/>
      <c r="P247" s="75" t="s">
        <v>243</v>
      </c>
      <c r="W247" s="294" t="s">
        <v>727</v>
      </c>
      <c r="X247" s="309" t="s">
        <v>786</v>
      </c>
    </row>
    <row r="248" spans="1:24" ht="75.95" customHeight="1" thickBot="1" x14ac:dyDescent="0.25">
      <c r="A248" s="153" t="s">
        <v>498</v>
      </c>
      <c r="B248" s="154" t="s">
        <v>499</v>
      </c>
      <c r="C248" s="56">
        <v>2500</v>
      </c>
      <c r="D248" s="56">
        <v>5424</v>
      </c>
      <c r="E248" s="55">
        <v>2500</v>
      </c>
      <c r="F248" s="51">
        <v>0</v>
      </c>
      <c r="G248" s="55">
        <v>2076</v>
      </c>
      <c r="H248" s="55">
        <v>3942</v>
      </c>
      <c r="I248" s="50">
        <v>500</v>
      </c>
      <c r="J248" s="53" t="s">
        <v>135</v>
      </c>
      <c r="K248" s="35">
        <f>(D248+F248+H248+0)-8000</f>
        <v>1366</v>
      </c>
      <c r="L248" s="57">
        <f>K248/8000</f>
        <v>0.17075000000000001</v>
      </c>
      <c r="M248" s="20" t="s">
        <v>31</v>
      </c>
      <c r="N248" s="16">
        <f>0/I248-1</f>
        <v>-1</v>
      </c>
      <c r="O248" s="290"/>
      <c r="P248" s="276" t="s">
        <v>500</v>
      </c>
      <c r="X248" s="307"/>
    </row>
    <row r="249" spans="1:24" ht="99" customHeight="1" thickBot="1" x14ac:dyDescent="0.25">
      <c r="A249" s="153" t="s">
        <v>501</v>
      </c>
      <c r="B249" s="154" t="s">
        <v>499</v>
      </c>
      <c r="C249" s="55">
        <v>1250</v>
      </c>
      <c r="D249" s="159">
        <v>2666</v>
      </c>
      <c r="E249" s="55">
        <v>3666</v>
      </c>
      <c r="F249" s="56">
        <v>2822</v>
      </c>
      <c r="G249" s="55">
        <v>1084</v>
      </c>
      <c r="H249" s="55">
        <v>2791</v>
      </c>
      <c r="I249" s="50">
        <v>500</v>
      </c>
      <c r="J249" s="128">
        <v>6486</v>
      </c>
      <c r="K249" s="35">
        <f>14765-5000</f>
        <v>9765</v>
      </c>
      <c r="L249" s="57">
        <f>14765/5000-1</f>
        <v>1.9529999999999998</v>
      </c>
      <c r="M249" s="21" t="s">
        <v>27</v>
      </c>
      <c r="N249" s="57">
        <f>J249/I249-1</f>
        <v>11.972</v>
      </c>
      <c r="O249" s="27"/>
      <c r="P249" s="75" t="s">
        <v>492</v>
      </c>
      <c r="R249" s="220" t="s">
        <v>631</v>
      </c>
      <c r="X249" s="307"/>
    </row>
    <row r="250" spans="1:24" ht="57.95" customHeight="1" thickBot="1" x14ac:dyDescent="0.25">
      <c r="A250" s="153" t="s">
        <v>502</v>
      </c>
      <c r="B250" s="154" t="s">
        <v>499</v>
      </c>
      <c r="C250" s="55">
        <v>5000</v>
      </c>
      <c r="D250" s="159">
        <v>2524</v>
      </c>
      <c r="E250" s="55">
        <v>5000</v>
      </c>
      <c r="F250" s="56">
        <v>16028</v>
      </c>
      <c r="G250" s="55">
        <v>5000</v>
      </c>
      <c r="H250" s="55">
        <v>1865</v>
      </c>
      <c r="I250" s="55">
        <v>1000</v>
      </c>
      <c r="J250" s="53" t="s">
        <v>242</v>
      </c>
      <c r="K250" s="35">
        <f>(D250+F250+H250+0)-20000</f>
        <v>417</v>
      </c>
      <c r="L250" s="57">
        <f>K250/5000</f>
        <v>8.3400000000000002E-2</v>
      </c>
      <c r="M250" s="20" t="s">
        <v>31</v>
      </c>
      <c r="N250" s="16">
        <f>0/I250-1</f>
        <v>-1</v>
      </c>
      <c r="O250" s="290"/>
      <c r="P250" s="276" t="s">
        <v>503</v>
      </c>
      <c r="X250" s="307"/>
    </row>
    <row r="251" spans="1:24" ht="20.100000000000001" customHeight="1" x14ac:dyDescent="0.2">
      <c r="A251"/>
      <c r="B251"/>
      <c r="C251"/>
      <c r="D251"/>
      <c r="E251"/>
      <c r="F251"/>
      <c r="G251"/>
      <c r="H251"/>
      <c r="I251"/>
      <c r="J251"/>
    </row>
    <row r="252" spans="1:24" s="68" customFormat="1" ht="22.5" customHeight="1" x14ac:dyDescent="0.2">
      <c r="A252" s="352" t="s">
        <v>504</v>
      </c>
      <c r="B252" s="352"/>
      <c r="C252" s="352"/>
      <c r="D252" s="352"/>
      <c r="E252" s="352"/>
      <c r="F252" s="352"/>
      <c r="G252" s="352"/>
      <c r="H252" s="352"/>
      <c r="I252" s="352"/>
      <c r="J252" s="352"/>
      <c r="K252" s="352"/>
      <c r="L252" s="352"/>
      <c r="M252" s="352"/>
      <c r="N252" s="352"/>
      <c r="O252" s="352"/>
      <c r="P252" s="272"/>
      <c r="R252" s="227"/>
      <c r="U252" s="281"/>
      <c r="W252" s="296"/>
    </row>
    <row r="253" spans="1:24" ht="22.5" customHeight="1" x14ac:dyDescent="0.2">
      <c r="A253" s="352" t="s">
        <v>505</v>
      </c>
      <c r="B253" s="352"/>
      <c r="C253" s="352"/>
      <c r="D253" s="352"/>
      <c r="E253" s="352"/>
      <c r="F253" s="352"/>
      <c r="G253" s="352"/>
      <c r="H253" s="352"/>
      <c r="I253" s="352"/>
      <c r="J253" s="352"/>
      <c r="K253" s="352"/>
      <c r="L253" s="352"/>
      <c r="M253" s="352"/>
      <c r="N253" s="352"/>
      <c r="O253" s="352"/>
    </row>
    <row r="254" spans="1:24" ht="21" customHeight="1" x14ac:dyDescent="0.2">
      <c r="A254" s="323" t="s">
        <v>0</v>
      </c>
      <c r="B254" s="323"/>
      <c r="C254" s="323"/>
      <c r="D254" s="323"/>
      <c r="E254" s="323"/>
      <c r="F254" s="323"/>
      <c r="G254" s="323"/>
      <c r="H254" s="323"/>
      <c r="I254" s="323"/>
      <c r="J254" s="323"/>
      <c r="K254" s="323"/>
      <c r="L254" s="323"/>
      <c r="M254" s="323"/>
      <c r="N254" s="323"/>
      <c r="O254" s="323"/>
      <c r="P254" s="323"/>
    </row>
    <row r="255" spans="1:24" ht="48.6" customHeight="1" thickBot="1" x14ac:dyDescent="0.25">
      <c r="A255" s="323" t="s">
        <v>506</v>
      </c>
      <c r="B255" s="323"/>
      <c r="C255" s="323"/>
      <c r="D255" s="323"/>
      <c r="E255" s="323"/>
      <c r="F255" s="323"/>
      <c r="G255" s="323"/>
      <c r="H255" s="323"/>
      <c r="I255" s="323"/>
      <c r="J255" s="323"/>
      <c r="K255" s="323"/>
      <c r="L255" s="323"/>
      <c r="M255" s="323"/>
      <c r="N255" s="47"/>
    </row>
    <row r="256" spans="1:24" ht="24.95" customHeight="1" thickBot="1" x14ac:dyDescent="0.25">
      <c r="A256" s="324" t="s">
        <v>2</v>
      </c>
      <c r="B256" s="325"/>
      <c r="C256" s="325"/>
      <c r="D256" s="325"/>
      <c r="E256" s="325"/>
      <c r="F256" s="325"/>
      <c r="G256" s="325"/>
      <c r="H256" s="325"/>
      <c r="I256" s="325"/>
      <c r="J256" s="326"/>
      <c r="K256" s="327" t="s">
        <v>3</v>
      </c>
      <c r="L256" s="328"/>
      <c r="M256" s="328"/>
      <c r="N256" s="328"/>
      <c r="O256" s="328"/>
      <c r="P256" s="328"/>
      <c r="R256" s="266" t="s">
        <v>654</v>
      </c>
      <c r="U256" s="278"/>
      <c r="W256" s="382" t="s">
        <v>679</v>
      </c>
      <c r="X256" s="390" t="s">
        <v>748</v>
      </c>
    </row>
    <row r="257" spans="1:24" ht="27.95" customHeight="1" thickBot="1" x14ac:dyDescent="0.25">
      <c r="A257" s="335" t="s">
        <v>4</v>
      </c>
      <c r="B257" s="71" t="s">
        <v>390</v>
      </c>
      <c r="C257" s="336" t="s">
        <v>6</v>
      </c>
      <c r="D257" s="337"/>
      <c r="E257" s="336" t="s">
        <v>6</v>
      </c>
      <c r="F257" s="337"/>
      <c r="G257" s="336" t="s">
        <v>6</v>
      </c>
      <c r="H257" s="337"/>
      <c r="I257" s="336" t="s">
        <v>6</v>
      </c>
      <c r="J257" s="337"/>
      <c r="K257" s="314" t="s">
        <v>7</v>
      </c>
      <c r="L257" s="322"/>
      <c r="M257" s="314" t="s">
        <v>8</v>
      </c>
      <c r="N257" s="315"/>
      <c r="O257" s="316" t="s">
        <v>9</v>
      </c>
      <c r="P257" s="329" t="s">
        <v>10</v>
      </c>
      <c r="R257" s="379" t="s">
        <v>607</v>
      </c>
      <c r="U257" s="279"/>
      <c r="W257" s="382"/>
      <c r="X257" s="390"/>
    </row>
    <row r="258" spans="1:24" ht="27.95" customHeight="1" thickBot="1" x14ac:dyDescent="0.25">
      <c r="A258" s="331"/>
      <c r="B258" s="331" t="s">
        <v>11</v>
      </c>
      <c r="C258" s="333" t="s">
        <v>12</v>
      </c>
      <c r="D258" s="334"/>
      <c r="E258" s="333" t="s">
        <v>13</v>
      </c>
      <c r="F258" s="334"/>
      <c r="G258" s="333" t="s">
        <v>14</v>
      </c>
      <c r="H258" s="334"/>
      <c r="I258" s="333" t="s">
        <v>15</v>
      </c>
      <c r="J258" s="334"/>
      <c r="K258" s="314" t="s">
        <v>16</v>
      </c>
      <c r="L258" s="322"/>
      <c r="M258" s="314" t="s">
        <v>17</v>
      </c>
      <c r="N258" s="322"/>
      <c r="O258" s="317"/>
      <c r="P258" s="330"/>
      <c r="R258" s="379"/>
      <c r="U258" s="279"/>
      <c r="W258" s="382"/>
      <c r="X258" s="390"/>
    </row>
    <row r="259" spans="1:24" ht="27.95" customHeight="1" thickBot="1" x14ac:dyDescent="0.25">
      <c r="A259" s="332"/>
      <c r="B259" s="332"/>
      <c r="C259" s="72" t="s">
        <v>18</v>
      </c>
      <c r="D259" s="72" t="s">
        <v>19</v>
      </c>
      <c r="E259" s="72" t="s">
        <v>18</v>
      </c>
      <c r="F259" s="72" t="s">
        <v>19</v>
      </c>
      <c r="G259" s="72" t="s">
        <v>18</v>
      </c>
      <c r="H259" s="72" t="s">
        <v>19</v>
      </c>
      <c r="I259" s="72" t="s">
        <v>18</v>
      </c>
      <c r="J259" s="72" t="s">
        <v>19</v>
      </c>
      <c r="K259" s="5" t="s">
        <v>20</v>
      </c>
      <c r="L259" s="248" t="s">
        <v>21</v>
      </c>
      <c r="M259" s="6" t="s">
        <v>22</v>
      </c>
      <c r="N259" s="7" t="s">
        <v>23</v>
      </c>
      <c r="O259" s="318"/>
      <c r="P259" s="318"/>
      <c r="R259" s="380"/>
      <c r="U259" s="279"/>
      <c r="W259" s="382"/>
      <c r="X259" s="390"/>
    </row>
    <row r="260" spans="1:24" ht="239.1" customHeight="1" thickBot="1" x14ac:dyDescent="0.25">
      <c r="A260" s="48" t="s">
        <v>507</v>
      </c>
      <c r="B260" s="49" t="s">
        <v>508</v>
      </c>
      <c r="C260" s="55">
        <v>20000</v>
      </c>
      <c r="D260" s="55">
        <v>12848</v>
      </c>
      <c r="E260" s="55">
        <v>35000</v>
      </c>
      <c r="F260" s="55">
        <v>26138</v>
      </c>
      <c r="G260" s="55">
        <v>50000</v>
      </c>
      <c r="H260" s="55">
        <v>43266</v>
      </c>
      <c r="I260" s="55">
        <v>68215</v>
      </c>
      <c r="J260" s="128">
        <v>54108</v>
      </c>
      <c r="K260" s="18">
        <f>J260-68215</f>
        <v>-14107</v>
      </c>
      <c r="L260" s="39">
        <f>K260/68215</f>
        <v>-0.2068020230154658</v>
      </c>
      <c r="M260" s="21" t="s">
        <v>27</v>
      </c>
      <c r="N260" s="16">
        <f>J260/I260-1</f>
        <v>-0.2068020230154658</v>
      </c>
      <c r="O260" s="290"/>
      <c r="P260" s="75" t="s">
        <v>509</v>
      </c>
      <c r="R260" s="228"/>
      <c r="U260" s="282"/>
      <c r="W260" s="298" t="s">
        <v>746</v>
      </c>
      <c r="X260" s="309" t="s">
        <v>786</v>
      </c>
    </row>
    <row r="261" spans="1:24" ht="64.5" customHeight="1" x14ac:dyDescent="0.2">
      <c r="A261" s="344" t="s">
        <v>510</v>
      </c>
      <c r="B261" s="346" t="s">
        <v>511</v>
      </c>
      <c r="C261" s="348" t="s">
        <v>512</v>
      </c>
      <c r="D261" s="348" t="s">
        <v>513</v>
      </c>
      <c r="E261" s="350" t="s">
        <v>514</v>
      </c>
      <c r="F261" s="338" t="s">
        <v>515</v>
      </c>
      <c r="G261" s="338" t="s">
        <v>516</v>
      </c>
      <c r="H261" s="340" t="s">
        <v>517</v>
      </c>
      <c r="I261" s="161">
        <v>0.2</v>
      </c>
      <c r="J261" s="162">
        <v>0.20200000000000001</v>
      </c>
      <c r="K261" s="21" t="s">
        <v>69</v>
      </c>
      <c r="L261" s="249"/>
      <c r="M261" s="21" t="s">
        <v>27</v>
      </c>
      <c r="N261" s="21" t="s">
        <v>69</v>
      </c>
      <c r="O261" s="291"/>
      <c r="P261" s="342" t="s">
        <v>518</v>
      </c>
      <c r="R261" s="228"/>
      <c r="U261" s="283"/>
      <c r="W261" s="298" t="s">
        <v>728</v>
      </c>
      <c r="X261" s="310" t="s">
        <v>781</v>
      </c>
    </row>
    <row r="262" spans="1:24" ht="64.5" customHeight="1" thickBot="1" x14ac:dyDescent="0.25">
      <c r="A262" s="345"/>
      <c r="B262" s="347"/>
      <c r="C262" s="349"/>
      <c r="D262" s="349"/>
      <c r="E262" s="351"/>
      <c r="F262" s="339"/>
      <c r="G262" s="339"/>
      <c r="H262" s="341"/>
      <c r="I262" s="50">
        <v>328</v>
      </c>
      <c r="J262" s="146">
        <v>332</v>
      </c>
      <c r="K262" s="43"/>
      <c r="L262" s="43"/>
      <c r="M262" s="43"/>
      <c r="N262" s="43"/>
      <c r="O262" s="292"/>
      <c r="P262" s="343"/>
      <c r="R262" s="220" t="s">
        <v>632</v>
      </c>
      <c r="U262" s="284"/>
      <c r="W262" s="299"/>
      <c r="X262" s="307"/>
    </row>
    <row r="263" spans="1:24" ht="90.95" customHeight="1" thickBot="1" x14ac:dyDescent="0.25">
      <c r="A263" s="48" t="s">
        <v>519</v>
      </c>
      <c r="B263" s="49" t="s">
        <v>520</v>
      </c>
      <c r="C263" s="123">
        <v>5</v>
      </c>
      <c r="D263" s="50">
        <v>6</v>
      </c>
      <c r="E263" s="50">
        <v>10</v>
      </c>
      <c r="F263" s="50">
        <v>3</v>
      </c>
      <c r="G263" s="50">
        <v>5</v>
      </c>
      <c r="H263" s="50">
        <v>1</v>
      </c>
      <c r="I263" s="50">
        <v>10</v>
      </c>
      <c r="J263" s="146">
        <v>0</v>
      </c>
      <c r="K263" s="20">
        <f>(D263+F263+H263+J263)-20</f>
        <v>-10</v>
      </c>
      <c r="L263" s="39">
        <f>K263/20</f>
        <v>-0.5</v>
      </c>
      <c r="M263" s="20" t="s">
        <v>31</v>
      </c>
      <c r="N263" s="16">
        <f>J263/I263-1</f>
        <v>-1</v>
      </c>
      <c r="O263" s="290"/>
      <c r="P263" s="276" t="s">
        <v>509</v>
      </c>
      <c r="R263" s="228"/>
      <c r="U263" s="282"/>
      <c r="W263" s="298" t="s">
        <v>747</v>
      </c>
      <c r="X263" s="309" t="s">
        <v>786</v>
      </c>
    </row>
    <row r="264" spans="1:24" ht="20.45" customHeight="1" x14ac:dyDescent="0.2">
      <c r="A264"/>
      <c r="B264"/>
      <c r="C264"/>
      <c r="D264"/>
      <c r="E264"/>
      <c r="F264"/>
      <c r="G264"/>
      <c r="H264"/>
      <c r="I264"/>
      <c r="J264"/>
    </row>
    <row r="265" spans="1:24" ht="20.45" customHeight="1" x14ac:dyDescent="0.2">
      <c r="A265" s="144" t="s">
        <v>521</v>
      </c>
      <c r="B265"/>
      <c r="C265"/>
      <c r="D265"/>
      <c r="E265"/>
      <c r="F265"/>
      <c r="G265"/>
      <c r="H265"/>
      <c r="I265"/>
      <c r="J265"/>
    </row>
    <row r="266" spans="1:24" ht="23.45" customHeight="1" x14ac:dyDescent="0.2">
      <c r="A266" s="323" t="s">
        <v>0</v>
      </c>
      <c r="B266" s="323"/>
      <c r="C266" s="323"/>
      <c r="D266" s="323"/>
      <c r="E266" s="323"/>
      <c r="F266" s="323"/>
      <c r="G266" s="323"/>
      <c r="H266" s="323"/>
      <c r="I266" s="323"/>
      <c r="J266" s="323"/>
      <c r="K266" s="323"/>
      <c r="L266" s="323"/>
      <c r="M266" s="323"/>
      <c r="N266" s="323"/>
      <c r="O266" s="323"/>
      <c r="P266" s="323"/>
    </row>
    <row r="267" spans="1:24" ht="50.45" customHeight="1" thickBot="1" x14ac:dyDescent="0.25">
      <c r="A267" s="323" t="s">
        <v>522</v>
      </c>
      <c r="B267" s="323"/>
      <c r="C267" s="323"/>
      <c r="D267" s="323"/>
      <c r="E267" s="323"/>
      <c r="F267" s="323"/>
      <c r="G267" s="323"/>
      <c r="H267" s="323"/>
      <c r="I267" s="323"/>
      <c r="J267" s="323"/>
      <c r="K267" s="323"/>
      <c r="L267" s="323"/>
      <c r="M267" s="323"/>
      <c r="N267" s="47"/>
    </row>
    <row r="268" spans="1:24" ht="22.5" customHeight="1" thickBot="1" x14ac:dyDescent="0.25">
      <c r="A268" s="324" t="s">
        <v>2</v>
      </c>
      <c r="B268" s="325"/>
      <c r="C268" s="325"/>
      <c r="D268" s="325"/>
      <c r="E268" s="325"/>
      <c r="F268" s="325"/>
      <c r="G268" s="325"/>
      <c r="H268" s="325"/>
      <c r="I268" s="325"/>
      <c r="J268" s="326"/>
      <c r="K268" s="327" t="s">
        <v>3</v>
      </c>
      <c r="L268" s="328"/>
      <c r="M268" s="328"/>
      <c r="N268" s="328"/>
      <c r="O268" s="328"/>
      <c r="P268" s="328"/>
      <c r="R268" s="266" t="s">
        <v>654</v>
      </c>
      <c r="U268" s="278"/>
      <c r="W268" s="382" t="s">
        <v>679</v>
      </c>
      <c r="X268" s="390" t="s">
        <v>748</v>
      </c>
    </row>
    <row r="269" spans="1:24" ht="29.45" customHeight="1" thickBot="1" x14ac:dyDescent="0.25">
      <c r="A269" s="335" t="s">
        <v>4</v>
      </c>
      <c r="B269" s="71" t="s">
        <v>390</v>
      </c>
      <c r="C269" s="336" t="s">
        <v>6</v>
      </c>
      <c r="D269" s="337"/>
      <c r="E269" s="336" t="s">
        <v>6</v>
      </c>
      <c r="F269" s="337"/>
      <c r="G269" s="336" t="s">
        <v>6</v>
      </c>
      <c r="H269" s="337"/>
      <c r="I269" s="336" t="s">
        <v>6</v>
      </c>
      <c r="J269" s="337"/>
      <c r="K269" s="314" t="s">
        <v>7</v>
      </c>
      <c r="L269" s="322"/>
      <c r="M269" s="314" t="s">
        <v>8</v>
      </c>
      <c r="N269" s="315"/>
      <c r="O269" s="316" t="s">
        <v>9</v>
      </c>
      <c r="P269" s="329" t="s">
        <v>10</v>
      </c>
      <c r="R269" s="379" t="s">
        <v>607</v>
      </c>
      <c r="U269" s="279"/>
      <c r="W269" s="382"/>
      <c r="X269" s="390"/>
    </row>
    <row r="270" spans="1:24" ht="43.5" customHeight="1" thickBot="1" x14ac:dyDescent="0.25">
      <c r="A270" s="331"/>
      <c r="B270" s="331" t="s">
        <v>11</v>
      </c>
      <c r="C270" s="333" t="s">
        <v>12</v>
      </c>
      <c r="D270" s="334"/>
      <c r="E270" s="333" t="s">
        <v>13</v>
      </c>
      <c r="F270" s="334"/>
      <c r="G270" s="333" t="s">
        <v>14</v>
      </c>
      <c r="H270" s="334"/>
      <c r="I270" s="333" t="s">
        <v>15</v>
      </c>
      <c r="J270" s="334"/>
      <c r="K270" s="314" t="s">
        <v>16</v>
      </c>
      <c r="L270" s="322"/>
      <c r="M270" s="314" t="s">
        <v>17</v>
      </c>
      <c r="N270" s="322"/>
      <c r="O270" s="317"/>
      <c r="P270" s="330"/>
      <c r="R270" s="379"/>
      <c r="U270" s="279"/>
      <c r="W270" s="382"/>
      <c r="X270" s="390"/>
    </row>
    <row r="271" spans="1:24" ht="29.45" customHeight="1" thickBot="1" x14ac:dyDescent="0.25">
      <c r="A271" s="332"/>
      <c r="B271" s="332"/>
      <c r="C271" s="72" t="s">
        <v>18</v>
      </c>
      <c r="D271" s="72" t="s">
        <v>19</v>
      </c>
      <c r="E271" s="72" t="s">
        <v>18</v>
      </c>
      <c r="F271" s="72" t="s">
        <v>19</v>
      </c>
      <c r="G271" s="72" t="s">
        <v>18</v>
      </c>
      <c r="H271" s="72" t="s">
        <v>19</v>
      </c>
      <c r="I271" s="72" t="s">
        <v>18</v>
      </c>
      <c r="J271" s="72" t="s">
        <v>19</v>
      </c>
      <c r="K271" s="5" t="s">
        <v>20</v>
      </c>
      <c r="L271" s="248" t="s">
        <v>21</v>
      </c>
      <c r="M271" s="6" t="s">
        <v>22</v>
      </c>
      <c r="N271" s="7" t="s">
        <v>23</v>
      </c>
      <c r="O271" s="318"/>
      <c r="P271" s="318"/>
      <c r="R271" s="380"/>
      <c r="U271" s="279"/>
      <c r="W271" s="382"/>
      <c r="X271" s="390"/>
    </row>
    <row r="272" spans="1:24" ht="50.45" customHeight="1" thickBot="1" x14ac:dyDescent="0.25">
      <c r="A272" s="48" t="s">
        <v>523</v>
      </c>
      <c r="B272" s="49" t="s">
        <v>524</v>
      </c>
      <c r="C272" s="97">
        <v>1</v>
      </c>
      <c r="D272" s="97">
        <v>1</v>
      </c>
      <c r="E272" s="97">
        <v>1</v>
      </c>
      <c r="F272" s="97">
        <v>1</v>
      </c>
      <c r="G272" s="97">
        <v>1</v>
      </c>
      <c r="H272" s="97">
        <v>1</v>
      </c>
      <c r="I272" s="97">
        <v>1</v>
      </c>
      <c r="J272" s="97">
        <v>1</v>
      </c>
      <c r="K272" s="34"/>
      <c r="L272" s="249"/>
      <c r="M272" s="60" t="s">
        <v>154</v>
      </c>
      <c r="N272" s="34" t="s">
        <v>525</v>
      </c>
      <c r="P272" s="75" t="s">
        <v>526</v>
      </c>
      <c r="R272" s="228"/>
      <c r="X272" s="307"/>
    </row>
    <row r="273" spans="1:24" ht="64.5" customHeight="1" thickBot="1" x14ac:dyDescent="0.25">
      <c r="A273" s="48" t="s">
        <v>527</v>
      </c>
      <c r="B273" s="49" t="s">
        <v>528</v>
      </c>
      <c r="C273" s="50" t="s">
        <v>53</v>
      </c>
      <c r="D273" s="50" t="s">
        <v>53</v>
      </c>
      <c r="E273" s="50">
        <v>5</v>
      </c>
      <c r="F273" s="50" t="s">
        <v>529</v>
      </c>
      <c r="G273" s="50" t="s">
        <v>53</v>
      </c>
      <c r="H273" s="50" t="s">
        <v>53</v>
      </c>
      <c r="I273" s="50">
        <v>1</v>
      </c>
      <c r="J273" s="104" t="s">
        <v>530</v>
      </c>
      <c r="K273" s="34" t="s">
        <v>652</v>
      </c>
      <c r="L273" s="249">
        <v>1</v>
      </c>
      <c r="M273" s="60" t="s">
        <v>154</v>
      </c>
      <c r="N273" s="34" t="s">
        <v>525</v>
      </c>
      <c r="O273" s="292"/>
      <c r="P273" s="276" t="s">
        <v>531</v>
      </c>
      <c r="R273" s="219" t="s">
        <v>633</v>
      </c>
      <c r="X273" s="307"/>
    </row>
    <row r="274" spans="1:24" ht="69" customHeight="1" thickBot="1" x14ac:dyDescent="0.25">
      <c r="A274" s="48" t="s">
        <v>532</v>
      </c>
      <c r="B274" s="49" t="s">
        <v>533</v>
      </c>
      <c r="C274" s="97">
        <v>0.1</v>
      </c>
      <c r="D274" s="97">
        <v>0</v>
      </c>
      <c r="E274" s="97">
        <v>0.3</v>
      </c>
      <c r="F274" s="97">
        <v>0</v>
      </c>
      <c r="G274" s="97">
        <v>0</v>
      </c>
      <c r="H274" s="50" t="s">
        <v>53</v>
      </c>
      <c r="I274" s="97">
        <v>0</v>
      </c>
      <c r="J274" s="53" t="s">
        <v>534</v>
      </c>
      <c r="K274" s="27" t="s">
        <v>653</v>
      </c>
      <c r="L274" s="27" t="s">
        <v>653</v>
      </c>
      <c r="M274" s="27" t="s">
        <v>535</v>
      </c>
      <c r="N274" s="27" t="s">
        <v>535</v>
      </c>
      <c r="O274" s="163"/>
      <c r="P274" s="276">
        <v>8287</v>
      </c>
      <c r="R274" s="220" t="s">
        <v>634</v>
      </c>
      <c r="X274" s="307"/>
    </row>
    <row r="275" spans="1:24" ht="89.1" customHeight="1" thickBot="1" x14ac:dyDescent="0.25">
      <c r="A275" s="48" t="s">
        <v>536</v>
      </c>
      <c r="B275" s="164" t="s">
        <v>537</v>
      </c>
      <c r="C275" s="123">
        <v>0</v>
      </c>
      <c r="D275" s="123">
        <v>0</v>
      </c>
      <c r="E275" s="50">
        <v>1</v>
      </c>
      <c r="F275" s="50" t="s">
        <v>90</v>
      </c>
      <c r="G275" s="50">
        <v>2</v>
      </c>
      <c r="H275" s="50">
        <v>10</v>
      </c>
      <c r="I275" s="50">
        <v>3</v>
      </c>
      <c r="J275" s="50">
        <v>5</v>
      </c>
      <c r="K275" s="34">
        <f>15-5</f>
        <v>10</v>
      </c>
      <c r="L275" s="249">
        <f>15/5-1</f>
        <v>2</v>
      </c>
      <c r="M275" s="20" t="s">
        <v>31</v>
      </c>
      <c r="N275" s="249">
        <f>5/3-1</f>
        <v>0.66666666666666674</v>
      </c>
      <c r="O275" s="27"/>
      <c r="P275" s="276">
        <v>8753</v>
      </c>
      <c r="R275" s="225" t="s">
        <v>638</v>
      </c>
      <c r="X275" s="307"/>
    </row>
    <row r="276" spans="1:24" ht="50.45" customHeight="1" thickBot="1" x14ac:dyDescent="0.25">
      <c r="A276" s="48" t="s">
        <v>538</v>
      </c>
      <c r="B276" s="49" t="s">
        <v>539</v>
      </c>
      <c r="C276" s="123" t="s">
        <v>53</v>
      </c>
      <c r="D276" s="123" t="s">
        <v>90</v>
      </c>
      <c r="E276" s="97">
        <v>0.1</v>
      </c>
      <c r="F276" s="50" t="s">
        <v>90</v>
      </c>
      <c r="G276" s="97">
        <v>7.0000000000000007E-2</v>
      </c>
      <c r="H276" s="104" t="s">
        <v>540</v>
      </c>
      <c r="I276" s="97">
        <v>7.0000000000000007E-2</v>
      </c>
      <c r="J276" s="97">
        <v>0.13</v>
      </c>
      <c r="K276" s="34" t="s">
        <v>541</v>
      </c>
      <c r="L276" s="256"/>
      <c r="M276" s="60" t="s">
        <v>154</v>
      </c>
      <c r="N276" s="34" t="s">
        <v>541</v>
      </c>
      <c r="P276" s="276" t="s">
        <v>53</v>
      </c>
      <c r="R276" s="228"/>
      <c r="X276" s="307"/>
    </row>
    <row r="277" spans="1:24" ht="50.45" customHeight="1" thickBot="1" x14ac:dyDescent="0.25">
      <c r="A277" s="48" t="s">
        <v>542</v>
      </c>
      <c r="B277" s="49" t="s">
        <v>543</v>
      </c>
      <c r="C277" s="98">
        <v>1</v>
      </c>
      <c r="D277" s="103">
        <v>0.879</v>
      </c>
      <c r="E277" s="97">
        <v>1</v>
      </c>
      <c r="F277" s="97">
        <v>0.96</v>
      </c>
      <c r="G277" s="97">
        <v>0.5</v>
      </c>
      <c r="H277" s="97">
        <v>0.71</v>
      </c>
      <c r="I277" s="97">
        <v>0.6</v>
      </c>
      <c r="J277" s="104" t="s">
        <v>544</v>
      </c>
      <c r="K277" s="38" t="s">
        <v>545</v>
      </c>
      <c r="L277" s="254"/>
      <c r="M277" s="34" t="s">
        <v>27</v>
      </c>
      <c r="N277" s="34" t="s">
        <v>546</v>
      </c>
      <c r="P277" s="276">
        <v>8287</v>
      </c>
      <c r="R277" s="228"/>
      <c r="X277" s="307"/>
    </row>
    <row r="278" spans="1:24" ht="50.45" customHeight="1" thickBot="1" x14ac:dyDescent="0.25">
      <c r="A278" s="48" t="s">
        <v>547</v>
      </c>
      <c r="B278" s="49" t="s">
        <v>548</v>
      </c>
      <c r="C278" s="98">
        <v>0.85</v>
      </c>
      <c r="D278" s="103">
        <v>0.80600000000000005</v>
      </c>
      <c r="E278" s="97">
        <v>0.9</v>
      </c>
      <c r="F278" s="90">
        <v>0.8286</v>
      </c>
      <c r="G278" s="97">
        <v>0.95</v>
      </c>
      <c r="H278" s="90">
        <v>0.84050000000000002</v>
      </c>
      <c r="I278" s="97">
        <v>0.9</v>
      </c>
      <c r="J278" s="90">
        <v>0.82699999999999996</v>
      </c>
      <c r="K278" s="38" t="s">
        <v>549</v>
      </c>
      <c r="L278" s="254"/>
      <c r="M278" s="20" t="s">
        <v>31</v>
      </c>
      <c r="N278" s="38" t="s">
        <v>550</v>
      </c>
      <c r="P278" s="276" t="s">
        <v>509</v>
      </c>
      <c r="R278" s="228"/>
      <c r="W278" s="294" t="s">
        <v>729</v>
      </c>
      <c r="X278" s="310" t="s">
        <v>772</v>
      </c>
    </row>
    <row r="279" spans="1:24" ht="20.100000000000001" customHeight="1" x14ac:dyDescent="0.2">
      <c r="A279"/>
      <c r="B279"/>
      <c r="C279"/>
      <c r="D279"/>
      <c r="E279"/>
      <c r="F279"/>
      <c r="G279"/>
      <c r="H279"/>
      <c r="I279"/>
      <c r="J279"/>
    </row>
    <row r="280" spans="1:24" ht="27.95" customHeight="1" x14ac:dyDescent="0.2">
      <c r="A280" s="313" t="s">
        <v>551</v>
      </c>
      <c r="B280" s="313"/>
      <c r="C280" s="313"/>
      <c r="D280" s="313"/>
      <c r="E280" s="313"/>
      <c r="F280" s="313"/>
      <c r="G280" s="313"/>
      <c r="H280" s="313"/>
      <c r="I280" s="313"/>
      <c r="J280" s="313"/>
      <c r="K280" s="313"/>
      <c r="L280" s="313"/>
      <c r="M280" s="313"/>
      <c r="N280" s="313"/>
      <c r="O280" s="313"/>
    </row>
    <row r="281" spans="1:24" ht="27.95" customHeight="1" x14ac:dyDescent="0.2">
      <c r="A281" s="313" t="s">
        <v>552</v>
      </c>
      <c r="B281" s="313"/>
      <c r="C281" s="313"/>
      <c r="D281" s="313"/>
      <c r="E281" s="313"/>
      <c r="F281" s="313"/>
      <c r="G281" s="313"/>
      <c r="H281" s="313"/>
      <c r="I281" s="313"/>
      <c r="J281" s="313"/>
      <c r="K281" s="313"/>
      <c r="L281" s="313"/>
      <c r="M281" s="313"/>
      <c r="N281" s="313"/>
      <c r="O281" s="313"/>
    </row>
    <row r="282" spans="1:24" ht="27.95" customHeight="1" x14ac:dyDescent="0.2">
      <c r="A282" s="313" t="s">
        <v>553</v>
      </c>
      <c r="B282" s="313"/>
      <c r="C282" s="313"/>
      <c r="D282" s="313"/>
      <c r="E282" s="313"/>
      <c r="F282" s="313"/>
      <c r="G282" s="313"/>
      <c r="H282" s="313"/>
      <c r="I282" s="313"/>
      <c r="J282" s="313"/>
      <c r="K282" s="313"/>
      <c r="L282" s="313"/>
      <c r="M282" s="313"/>
      <c r="N282" s="313"/>
      <c r="O282" s="313"/>
    </row>
    <row r="283" spans="1:24" ht="27.95" customHeight="1" x14ac:dyDescent="0.2">
      <c r="A283" s="313" t="s">
        <v>554</v>
      </c>
      <c r="B283" s="313"/>
      <c r="C283" s="313"/>
      <c r="D283" s="313"/>
      <c r="E283" s="313"/>
      <c r="F283" s="313"/>
      <c r="G283" s="313"/>
      <c r="H283" s="313"/>
      <c r="I283" s="313"/>
      <c r="J283" s="313"/>
      <c r="K283" s="313"/>
      <c r="L283" s="313"/>
      <c r="M283" s="313"/>
      <c r="N283" s="313"/>
      <c r="O283" s="313"/>
    </row>
    <row r="284" spans="1:24" ht="27.95" customHeight="1" x14ac:dyDescent="0.2">
      <c r="A284" s="313" t="s">
        <v>555</v>
      </c>
      <c r="B284" s="313"/>
      <c r="C284" s="313"/>
      <c r="D284" s="313"/>
      <c r="E284" s="313"/>
      <c r="F284" s="313"/>
      <c r="G284" s="313"/>
      <c r="H284" s="313"/>
      <c r="I284" s="313"/>
      <c r="J284" s="313"/>
      <c r="K284" s="313"/>
      <c r="L284" s="313"/>
      <c r="M284" s="313"/>
      <c r="N284" s="313"/>
      <c r="O284" s="313"/>
    </row>
    <row r="285" spans="1:24" ht="23.1" customHeight="1" x14ac:dyDescent="0.2">
      <c r="A285" s="323" t="s">
        <v>0</v>
      </c>
      <c r="B285" s="323"/>
      <c r="C285" s="323"/>
      <c r="D285" s="323"/>
      <c r="E285" s="323"/>
      <c r="F285" s="323"/>
      <c r="G285" s="323"/>
      <c r="H285" s="323"/>
      <c r="I285" s="323"/>
      <c r="J285" s="323"/>
      <c r="K285" s="323"/>
      <c r="L285" s="323"/>
      <c r="M285" s="323"/>
      <c r="N285" s="323"/>
      <c r="O285" s="323"/>
      <c r="P285" s="323"/>
    </row>
    <row r="286" spans="1:24" ht="50.45" customHeight="1" thickBot="1" x14ac:dyDescent="0.25">
      <c r="A286" s="323" t="s">
        <v>556</v>
      </c>
      <c r="B286" s="323"/>
      <c r="C286" s="323"/>
      <c r="D286" s="323"/>
      <c r="E286" s="323"/>
      <c r="F286" s="323"/>
      <c r="G286" s="323"/>
      <c r="H286" s="323"/>
      <c r="I286" s="323"/>
      <c r="J286" s="323"/>
      <c r="K286" s="323"/>
      <c r="L286" s="323"/>
      <c r="M286" s="323"/>
      <c r="N286" s="47"/>
    </row>
    <row r="287" spans="1:24" ht="22.5" customHeight="1" thickBot="1" x14ac:dyDescent="0.25">
      <c r="A287" s="324" t="s">
        <v>2</v>
      </c>
      <c r="B287" s="325"/>
      <c r="C287" s="325"/>
      <c r="D287" s="325"/>
      <c r="E287" s="325"/>
      <c r="F287" s="325"/>
      <c r="G287" s="325"/>
      <c r="H287" s="325"/>
      <c r="I287" s="325"/>
      <c r="J287" s="326"/>
      <c r="K287" s="327" t="s">
        <v>3</v>
      </c>
      <c r="L287" s="328"/>
      <c r="M287" s="328"/>
      <c r="N287" s="328"/>
      <c r="O287" s="328"/>
      <c r="P287" s="328"/>
      <c r="R287" s="266" t="s">
        <v>654</v>
      </c>
      <c r="U287" s="278"/>
      <c r="W287" s="382" t="s">
        <v>679</v>
      </c>
      <c r="X287" s="390" t="s">
        <v>748</v>
      </c>
    </row>
    <row r="288" spans="1:24" ht="27" customHeight="1" thickBot="1" x14ac:dyDescent="0.25">
      <c r="A288" s="335" t="s">
        <v>4</v>
      </c>
      <c r="B288" s="71" t="s">
        <v>390</v>
      </c>
      <c r="C288" s="336" t="s">
        <v>6</v>
      </c>
      <c r="D288" s="337"/>
      <c r="E288" s="336" t="s">
        <v>6</v>
      </c>
      <c r="F288" s="337"/>
      <c r="G288" s="336" t="s">
        <v>6</v>
      </c>
      <c r="H288" s="337"/>
      <c r="I288" s="336" t="s">
        <v>6</v>
      </c>
      <c r="J288" s="337"/>
      <c r="K288" s="314" t="s">
        <v>7</v>
      </c>
      <c r="L288" s="322"/>
      <c r="M288" s="314" t="s">
        <v>8</v>
      </c>
      <c r="N288" s="315"/>
      <c r="O288" s="316" t="s">
        <v>9</v>
      </c>
      <c r="P288" s="329" t="s">
        <v>10</v>
      </c>
      <c r="R288" s="379" t="s">
        <v>607</v>
      </c>
      <c r="U288" s="279"/>
      <c r="W288" s="382"/>
      <c r="X288" s="390"/>
    </row>
    <row r="289" spans="1:24" ht="27" customHeight="1" thickBot="1" x14ac:dyDescent="0.25">
      <c r="A289" s="331"/>
      <c r="B289" s="331" t="s">
        <v>11</v>
      </c>
      <c r="C289" s="333" t="s">
        <v>12</v>
      </c>
      <c r="D289" s="334"/>
      <c r="E289" s="333" t="s">
        <v>13</v>
      </c>
      <c r="F289" s="334"/>
      <c r="G289" s="333" t="s">
        <v>14</v>
      </c>
      <c r="H289" s="334"/>
      <c r="I289" s="333" t="s">
        <v>15</v>
      </c>
      <c r="J289" s="334"/>
      <c r="K289" s="314" t="s">
        <v>16</v>
      </c>
      <c r="L289" s="322"/>
      <c r="M289" s="314" t="s">
        <v>17</v>
      </c>
      <c r="N289" s="322"/>
      <c r="O289" s="317"/>
      <c r="P289" s="330"/>
      <c r="R289" s="379"/>
      <c r="U289" s="279"/>
      <c r="W289" s="382"/>
      <c r="X289" s="390"/>
    </row>
    <row r="290" spans="1:24" ht="49.5" customHeight="1" thickBot="1" x14ac:dyDescent="0.25">
      <c r="A290" s="332"/>
      <c r="B290" s="332"/>
      <c r="C290" s="72" t="s">
        <v>18</v>
      </c>
      <c r="D290" s="72" t="s">
        <v>19</v>
      </c>
      <c r="E290" s="72" t="s">
        <v>18</v>
      </c>
      <c r="F290" s="72" t="s">
        <v>19</v>
      </c>
      <c r="G290" s="72" t="s">
        <v>18</v>
      </c>
      <c r="H290" s="72" t="s">
        <v>19</v>
      </c>
      <c r="I290" s="72" t="s">
        <v>18</v>
      </c>
      <c r="J290" s="72" t="s">
        <v>19</v>
      </c>
      <c r="K290" s="5" t="s">
        <v>20</v>
      </c>
      <c r="L290" s="248" t="s">
        <v>21</v>
      </c>
      <c r="M290" s="6" t="s">
        <v>22</v>
      </c>
      <c r="N290" s="7" t="s">
        <v>23</v>
      </c>
      <c r="O290" s="318"/>
      <c r="P290" s="318"/>
      <c r="R290" s="380"/>
      <c r="U290" s="279"/>
      <c r="W290" s="382"/>
      <c r="X290" s="390"/>
    </row>
    <row r="291" spans="1:24" ht="50.45" customHeight="1" thickBot="1" x14ac:dyDescent="0.25">
      <c r="A291" s="48" t="s">
        <v>557</v>
      </c>
      <c r="B291" s="49" t="s">
        <v>558</v>
      </c>
      <c r="C291" s="50">
        <v>0</v>
      </c>
      <c r="D291" s="50">
        <v>0</v>
      </c>
      <c r="E291" s="50" t="s">
        <v>53</v>
      </c>
      <c r="F291" s="50" t="s">
        <v>53</v>
      </c>
      <c r="G291" s="50" t="s">
        <v>53</v>
      </c>
      <c r="H291" s="50" t="s">
        <v>53</v>
      </c>
      <c r="I291" s="50" t="s">
        <v>53</v>
      </c>
      <c r="J291" s="50" t="s">
        <v>53</v>
      </c>
      <c r="K291" s="50" t="s">
        <v>53</v>
      </c>
      <c r="L291" s="257" t="s">
        <v>53</v>
      </c>
      <c r="M291" s="50" t="s">
        <v>53</v>
      </c>
      <c r="N291" s="50"/>
      <c r="O291" s="50" t="s">
        <v>53</v>
      </c>
      <c r="P291" s="75" t="s">
        <v>53</v>
      </c>
      <c r="R291" s="228"/>
      <c r="W291" s="294" t="s">
        <v>730</v>
      </c>
      <c r="X291" s="310" t="s">
        <v>756</v>
      </c>
    </row>
    <row r="292" spans="1:24" ht="149.25" customHeight="1" thickBot="1" x14ac:dyDescent="0.25">
      <c r="A292" s="48" t="s">
        <v>559</v>
      </c>
      <c r="B292" s="49" t="s">
        <v>560</v>
      </c>
      <c r="C292" s="50">
        <v>30.8</v>
      </c>
      <c r="D292" s="97">
        <v>0.4</v>
      </c>
      <c r="E292" s="102">
        <v>0.35620000000000002</v>
      </c>
      <c r="F292" s="90">
        <v>0.84640000000000004</v>
      </c>
      <c r="G292" s="90">
        <v>0.72109999999999996</v>
      </c>
      <c r="H292" s="90">
        <v>0.99719999999999998</v>
      </c>
      <c r="I292" s="90">
        <v>0.88680000000000003</v>
      </c>
      <c r="J292" s="104" t="s">
        <v>561</v>
      </c>
      <c r="K292" s="57">
        <f>0.9997-0.8868</f>
        <v>0.1129</v>
      </c>
      <c r="L292" s="57">
        <f>99.97/88.68-1</f>
        <v>0.12731168245376634</v>
      </c>
      <c r="M292" s="21" t="s">
        <v>27</v>
      </c>
      <c r="N292" s="57">
        <f>99.97/88.68-1</f>
        <v>0.12731168245376634</v>
      </c>
      <c r="O292" s="292"/>
      <c r="P292" s="157" t="s">
        <v>482</v>
      </c>
      <c r="R292" s="219" t="s">
        <v>637</v>
      </c>
      <c r="X292" s="307"/>
    </row>
    <row r="293" spans="1:24" ht="68.45" customHeight="1" thickBot="1" x14ac:dyDescent="0.25">
      <c r="A293" s="48" t="s">
        <v>562</v>
      </c>
      <c r="B293" s="49" t="s">
        <v>563</v>
      </c>
      <c r="C293" s="50" t="s">
        <v>53</v>
      </c>
      <c r="D293" s="50" t="s">
        <v>53</v>
      </c>
      <c r="E293" s="50" t="s">
        <v>53</v>
      </c>
      <c r="F293" s="50" t="s">
        <v>53</v>
      </c>
      <c r="G293" s="50" t="s">
        <v>53</v>
      </c>
      <c r="H293" s="50" t="s">
        <v>53</v>
      </c>
      <c r="I293" s="50" t="s">
        <v>53</v>
      </c>
      <c r="J293" s="50" t="s">
        <v>53</v>
      </c>
      <c r="K293" s="50" t="s">
        <v>53</v>
      </c>
      <c r="L293" s="257" t="s">
        <v>53</v>
      </c>
      <c r="M293" s="50" t="s">
        <v>53</v>
      </c>
      <c r="N293" s="50"/>
      <c r="O293" s="50" t="s">
        <v>53</v>
      </c>
      <c r="P293" s="276" t="s">
        <v>53</v>
      </c>
      <c r="R293" s="228"/>
      <c r="W293" s="294" t="s">
        <v>731</v>
      </c>
      <c r="X293" s="309" t="s">
        <v>786</v>
      </c>
    </row>
    <row r="294" spans="1:24" ht="50.45" customHeight="1" thickBot="1" x14ac:dyDescent="0.25">
      <c r="A294" s="48" t="s">
        <v>564</v>
      </c>
      <c r="B294" s="49" t="s">
        <v>565</v>
      </c>
      <c r="C294" s="123" t="s">
        <v>53</v>
      </c>
      <c r="D294" s="123" t="s">
        <v>53</v>
      </c>
      <c r="E294" s="50" t="s">
        <v>53</v>
      </c>
      <c r="F294" s="50" t="s">
        <v>53</v>
      </c>
      <c r="G294" s="50" t="s">
        <v>53</v>
      </c>
      <c r="H294" s="50" t="s">
        <v>53</v>
      </c>
      <c r="I294" s="50" t="s">
        <v>53</v>
      </c>
      <c r="J294" s="50" t="s">
        <v>53</v>
      </c>
      <c r="K294" s="50" t="s">
        <v>53</v>
      </c>
      <c r="L294" s="257" t="s">
        <v>53</v>
      </c>
      <c r="M294" s="50" t="s">
        <v>53</v>
      </c>
      <c r="N294" s="50"/>
      <c r="O294" s="50" t="s">
        <v>53</v>
      </c>
      <c r="P294" s="276" t="s">
        <v>53</v>
      </c>
      <c r="R294" s="228"/>
      <c r="W294" s="294" t="s">
        <v>732</v>
      </c>
      <c r="X294" s="309" t="s">
        <v>786</v>
      </c>
    </row>
    <row r="295" spans="1:24" ht="174" customHeight="1" thickBot="1" x14ac:dyDescent="0.25">
      <c r="A295" s="48" t="s">
        <v>566</v>
      </c>
      <c r="B295" s="49" t="s">
        <v>567</v>
      </c>
      <c r="C295" s="123" t="s">
        <v>53</v>
      </c>
      <c r="D295" s="165">
        <v>6.2399999999999997E-2</v>
      </c>
      <c r="E295" s="97">
        <v>0.06</v>
      </c>
      <c r="F295" s="90">
        <v>0.13009999999999999</v>
      </c>
      <c r="G295" s="97">
        <v>0.05</v>
      </c>
      <c r="H295" s="97">
        <v>0</v>
      </c>
      <c r="I295" s="97">
        <v>0.05</v>
      </c>
      <c r="J295" s="90">
        <v>7.3499999999999996E-2</v>
      </c>
      <c r="K295" s="57">
        <f>(D295+F295+H295+J295)-(E295+G295+I295)</f>
        <v>0.10600000000000001</v>
      </c>
      <c r="L295" s="57">
        <f>(0.266/0.16)-1</f>
        <v>0.66250000000000009</v>
      </c>
      <c r="M295" s="21" t="s">
        <v>27</v>
      </c>
      <c r="N295" s="262">
        <f>(7.35/5)-1</f>
        <v>0.47</v>
      </c>
      <c r="O295" s="292"/>
      <c r="P295" s="276" t="s">
        <v>53</v>
      </c>
      <c r="R295" s="219" t="s">
        <v>636</v>
      </c>
      <c r="S295" s="229"/>
      <c r="U295" s="285"/>
      <c r="W295" s="300" t="s">
        <v>733</v>
      </c>
      <c r="X295" s="309" t="s">
        <v>786</v>
      </c>
    </row>
    <row r="296" spans="1:24" ht="26.1" customHeight="1" x14ac:dyDescent="0.2">
      <c r="A296"/>
      <c r="B296"/>
      <c r="C296"/>
      <c r="D296"/>
      <c r="E296"/>
      <c r="F296"/>
      <c r="G296"/>
      <c r="H296"/>
      <c r="I296"/>
      <c r="J296"/>
    </row>
    <row r="297" spans="1:24" ht="26.1" customHeight="1" x14ac:dyDescent="0.2">
      <c r="A297" s="313" t="s">
        <v>568</v>
      </c>
      <c r="B297" s="313"/>
      <c r="C297" s="313"/>
      <c r="D297" s="313"/>
      <c r="E297" s="313"/>
      <c r="F297" s="313"/>
      <c r="G297" s="313"/>
      <c r="H297" s="313"/>
      <c r="I297" s="313"/>
      <c r="J297" s="313"/>
      <c r="K297" s="313"/>
      <c r="L297" s="313"/>
      <c r="M297" s="313"/>
      <c r="N297" s="313"/>
      <c r="O297" s="313"/>
    </row>
    <row r="299" spans="1:24" s="277" customFormat="1" ht="48.95" customHeight="1" x14ac:dyDescent="0.2">
      <c r="K299" s="301"/>
      <c r="L299" s="302"/>
      <c r="M299" s="301"/>
      <c r="N299" s="301"/>
      <c r="O299" s="280"/>
      <c r="P299" s="280"/>
      <c r="R299" s="303"/>
      <c r="U299" s="280"/>
      <c r="W299" s="304"/>
    </row>
    <row r="335" ht="33" customHeight="1" x14ac:dyDescent="0.2"/>
  </sheetData>
  <mergeCells count="399">
    <mergeCell ref="W120:W123"/>
    <mergeCell ref="W161:W164"/>
    <mergeCell ref="W180:W183"/>
    <mergeCell ref="W194:W197"/>
    <mergeCell ref="W215:W218"/>
    <mergeCell ref="X8:X11"/>
    <mergeCell ref="X2:X5"/>
    <mergeCell ref="X215:X218"/>
    <mergeCell ref="X287:X290"/>
    <mergeCell ref="X268:X271"/>
    <mergeCell ref="X256:X259"/>
    <mergeCell ref="X241:X244"/>
    <mergeCell ref="X229:X232"/>
    <mergeCell ref="X194:X197"/>
    <mergeCell ref="X180:X183"/>
    <mergeCell ref="X161:X164"/>
    <mergeCell ref="X120:X123"/>
    <mergeCell ref="X107:X110"/>
    <mergeCell ref="X55:X58"/>
    <mergeCell ref="W2:W5"/>
    <mergeCell ref="W8:W11"/>
    <mergeCell ref="W55:W58"/>
    <mergeCell ref="W107:W110"/>
    <mergeCell ref="R257:R259"/>
    <mergeCell ref="R269:R271"/>
    <mergeCell ref="R288:R290"/>
    <mergeCell ref="R56:R58"/>
    <mergeCell ref="R108:R110"/>
    <mergeCell ref="R121:R123"/>
    <mergeCell ref="R162:R164"/>
    <mergeCell ref="R181:R183"/>
    <mergeCell ref="R195:R197"/>
    <mergeCell ref="R216:R218"/>
    <mergeCell ref="R230:R232"/>
    <mergeCell ref="R242:R244"/>
    <mergeCell ref="R9:R11"/>
    <mergeCell ref="R185:R186"/>
    <mergeCell ref="R3:R5"/>
    <mergeCell ref="W229:W232"/>
    <mergeCell ref="W241:W244"/>
    <mergeCell ref="W256:W259"/>
    <mergeCell ref="W268:W271"/>
    <mergeCell ref="W287:W290"/>
    <mergeCell ref="A1:P1"/>
    <mergeCell ref="A7:P7"/>
    <mergeCell ref="A8:J8"/>
    <mergeCell ref="K8:P8"/>
    <mergeCell ref="A9:A11"/>
    <mergeCell ref="C9:D9"/>
    <mergeCell ref="E9:F9"/>
    <mergeCell ref="G9:H9"/>
    <mergeCell ref="I9:J9"/>
    <mergeCell ref="K9:L9"/>
    <mergeCell ref="M10:N10"/>
    <mergeCell ref="A2:J2"/>
    <mergeCell ref="K2:P2"/>
    <mergeCell ref="A3:A5"/>
    <mergeCell ref="C3:D3"/>
    <mergeCell ref="E3:F3"/>
    <mergeCell ref="G3:H3"/>
    <mergeCell ref="I3:J3"/>
    <mergeCell ref="K3:L3"/>
    <mergeCell ref="M3:N3"/>
    <mergeCell ref="O3:O5"/>
    <mergeCell ref="P3:P5"/>
    <mergeCell ref="B4:B5"/>
    <mergeCell ref="C4:D4"/>
    <mergeCell ref="A36:O36"/>
    <mergeCell ref="A37:O37"/>
    <mergeCell ref="A38:O38"/>
    <mergeCell ref="A39:P39"/>
    <mergeCell ref="M9:N9"/>
    <mergeCell ref="O9:O11"/>
    <mergeCell ref="P9:P11"/>
    <mergeCell ref="B10:B11"/>
    <mergeCell ref="C10:D10"/>
    <mergeCell ref="E10:F10"/>
    <mergeCell ref="G10:H10"/>
    <mergeCell ref="I10:J10"/>
    <mergeCell ref="K10:L10"/>
    <mergeCell ref="A46:P46"/>
    <mergeCell ref="A47:P47"/>
    <mergeCell ref="A48:P48"/>
    <mergeCell ref="A49:P49"/>
    <mergeCell ref="A50:P50"/>
    <mergeCell ref="A51:P51"/>
    <mergeCell ref="A40:P40"/>
    <mergeCell ref="A41:P41"/>
    <mergeCell ref="A42:P42"/>
    <mergeCell ref="A43:P43"/>
    <mergeCell ref="A44:P44"/>
    <mergeCell ref="A45:P45"/>
    <mergeCell ref="A52:P52"/>
    <mergeCell ref="A53:P53"/>
    <mergeCell ref="A54:M54"/>
    <mergeCell ref="A55:J55"/>
    <mergeCell ref="K55:P55"/>
    <mergeCell ref="A56:A58"/>
    <mergeCell ref="C56:D56"/>
    <mergeCell ref="E56:F56"/>
    <mergeCell ref="G56:H56"/>
    <mergeCell ref="I56:J56"/>
    <mergeCell ref="K57:L57"/>
    <mergeCell ref="M57:N57"/>
    <mergeCell ref="A85:O85"/>
    <mergeCell ref="A91:O91"/>
    <mergeCell ref="A92:O92"/>
    <mergeCell ref="K56:L56"/>
    <mergeCell ref="M56:N56"/>
    <mergeCell ref="O56:O58"/>
    <mergeCell ref="P56:P58"/>
    <mergeCell ref="B57:B58"/>
    <mergeCell ref="C57:D57"/>
    <mergeCell ref="E57:F57"/>
    <mergeCell ref="G57:H57"/>
    <mergeCell ref="I57:J57"/>
    <mergeCell ref="A102:O102"/>
    <mergeCell ref="A105:P105"/>
    <mergeCell ref="A106:M106"/>
    <mergeCell ref="A107:J107"/>
    <mergeCell ref="K107:P107"/>
    <mergeCell ref="A108:A110"/>
    <mergeCell ref="C108:D108"/>
    <mergeCell ref="E108:F108"/>
    <mergeCell ref="G108:H108"/>
    <mergeCell ref="I108:J108"/>
    <mergeCell ref="K109:L109"/>
    <mergeCell ref="M109:N109"/>
    <mergeCell ref="A115:M115"/>
    <mergeCell ref="A116:M116"/>
    <mergeCell ref="A117:M117"/>
    <mergeCell ref="K108:L108"/>
    <mergeCell ref="M108:N108"/>
    <mergeCell ref="O108:O110"/>
    <mergeCell ref="P108:P110"/>
    <mergeCell ref="B109:B110"/>
    <mergeCell ref="C109:D109"/>
    <mergeCell ref="E109:F109"/>
    <mergeCell ref="G109:H109"/>
    <mergeCell ref="I109:J109"/>
    <mergeCell ref="A118:P118"/>
    <mergeCell ref="A119:M119"/>
    <mergeCell ref="A120:J120"/>
    <mergeCell ref="K120:P120"/>
    <mergeCell ref="A121:A123"/>
    <mergeCell ref="C121:D121"/>
    <mergeCell ref="E121:F121"/>
    <mergeCell ref="G121:H121"/>
    <mergeCell ref="I121:J121"/>
    <mergeCell ref="K121:L121"/>
    <mergeCell ref="M121:N121"/>
    <mergeCell ref="O121:O123"/>
    <mergeCell ref="P121:P123"/>
    <mergeCell ref="B122:B123"/>
    <mergeCell ref="C122:D122"/>
    <mergeCell ref="E122:F122"/>
    <mergeCell ref="G122:H122"/>
    <mergeCell ref="I122:J122"/>
    <mergeCell ref="K122:L122"/>
    <mergeCell ref="P137:P138"/>
    <mergeCell ref="A146:M146"/>
    <mergeCell ref="A147:M147"/>
    <mergeCell ref="A148:M148"/>
    <mergeCell ref="A149:M149"/>
    <mergeCell ref="A150:M150"/>
    <mergeCell ref="M122:N122"/>
    <mergeCell ref="A137:A138"/>
    <mergeCell ref="B137:B138"/>
    <mergeCell ref="C137:C138"/>
    <mergeCell ref="D137:D138"/>
    <mergeCell ref="E137:E138"/>
    <mergeCell ref="F137:F138"/>
    <mergeCell ref="G137:G138"/>
    <mergeCell ref="H137:H138"/>
    <mergeCell ref="A157:O157"/>
    <mergeCell ref="A158:O158"/>
    <mergeCell ref="A159:P159"/>
    <mergeCell ref="A160:M160"/>
    <mergeCell ref="A161:J161"/>
    <mergeCell ref="K161:P161"/>
    <mergeCell ref="A151:O151"/>
    <mergeCell ref="A152:O152"/>
    <mergeCell ref="A153:O153"/>
    <mergeCell ref="A154:O154"/>
    <mergeCell ref="A155:O155"/>
    <mergeCell ref="A156:O156"/>
    <mergeCell ref="M163:N163"/>
    <mergeCell ref="A175:O175"/>
    <mergeCell ref="A177:O177"/>
    <mergeCell ref="A178:P178"/>
    <mergeCell ref="A179:M179"/>
    <mergeCell ref="M162:N162"/>
    <mergeCell ref="O162:O164"/>
    <mergeCell ref="P162:P164"/>
    <mergeCell ref="B163:B164"/>
    <mergeCell ref="C163:D163"/>
    <mergeCell ref="E163:F163"/>
    <mergeCell ref="G163:H163"/>
    <mergeCell ref="I163:J163"/>
    <mergeCell ref="K163:L163"/>
    <mergeCell ref="A162:A164"/>
    <mergeCell ref="C162:D162"/>
    <mergeCell ref="E162:F162"/>
    <mergeCell ref="G162:H162"/>
    <mergeCell ref="I162:J162"/>
    <mergeCell ref="K162:L162"/>
    <mergeCell ref="A180:J180"/>
    <mergeCell ref="K180:P180"/>
    <mergeCell ref="A181:A183"/>
    <mergeCell ref="C181:D181"/>
    <mergeCell ref="E181:F181"/>
    <mergeCell ref="G181:H181"/>
    <mergeCell ref="I181:J181"/>
    <mergeCell ref="K181:L181"/>
    <mergeCell ref="M181:N181"/>
    <mergeCell ref="O181:O183"/>
    <mergeCell ref="P181:P183"/>
    <mergeCell ref="B182:B183"/>
    <mergeCell ref="C182:D182"/>
    <mergeCell ref="E182:F182"/>
    <mergeCell ref="G182:H182"/>
    <mergeCell ref="I182:J182"/>
    <mergeCell ref="K182:L182"/>
    <mergeCell ref="M182:N182"/>
    <mergeCell ref="J185:J186"/>
    <mergeCell ref="P185:P186"/>
    <mergeCell ref="A192:P192"/>
    <mergeCell ref="A193:M193"/>
    <mergeCell ref="A185:A186"/>
    <mergeCell ref="B185:B186"/>
    <mergeCell ref="C185:C186"/>
    <mergeCell ref="D185:D186"/>
    <mergeCell ref="F185:F186"/>
    <mergeCell ref="H185:H186"/>
    <mergeCell ref="A194:J194"/>
    <mergeCell ref="K194:P194"/>
    <mergeCell ref="A195:A197"/>
    <mergeCell ref="C195:D195"/>
    <mergeCell ref="E195:F195"/>
    <mergeCell ref="G195:H195"/>
    <mergeCell ref="I195:J195"/>
    <mergeCell ref="K195:L195"/>
    <mergeCell ref="M195:N195"/>
    <mergeCell ref="O195:O197"/>
    <mergeCell ref="P195:P197"/>
    <mergeCell ref="B196:B197"/>
    <mergeCell ref="C196:D196"/>
    <mergeCell ref="E196:F196"/>
    <mergeCell ref="G196:H196"/>
    <mergeCell ref="I196:J196"/>
    <mergeCell ref="K196:L196"/>
    <mergeCell ref="M196:N196"/>
    <mergeCell ref="A212:O212"/>
    <mergeCell ref="A213:P213"/>
    <mergeCell ref="A214:M214"/>
    <mergeCell ref="A215:J215"/>
    <mergeCell ref="K215:P215"/>
    <mergeCell ref="A216:A218"/>
    <mergeCell ref="C216:D216"/>
    <mergeCell ref="E216:F216"/>
    <mergeCell ref="G216:H216"/>
    <mergeCell ref="I216:J216"/>
    <mergeCell ref="K217:L217"/>
    <mergeCell ref="M217:N217"/>
    <mergeCell ref="A225:O225"/>
    <mergeCell ref="A226:O226"/>
    <mergeCell ref="A227:P227"/>
    <mergeCell ref="K216:L216"/>
    <mergeCell ref="M216:N216"/>
    <mergeCell ref="O216:O218"/>
    <mergeCell ref="P216:P218"/>
    <mergeCell ref="B217:B218"/>
    <mergeCell ref="C217:D217"/>
    <mergeCell ref="E217:F217"/>
    <mergeCell ref="G217:H217"/>
    <mergeCell ref="I217:J217"/>
    <mergeCell ref="A228:M228"/>
    <mergeCell ref="A229:J229"/>
    <mergeCell ref="K229:P229"/>
    <mergeCell ref="A230:A232"/>
    <mergeCell ref="C230:D230"/>
    <mergeCell ref="E230:F230"/>
    <mergeCell ref="G230:H230"/>
    <mergeCell ref="I230:J230"/>
    <mergeCell ref="K230:L230"/>
    <mergeCell ref="M230:N230"/>
    <mergeCell ref="A237:M237"/>
    <mergeCell ref="A238:M238"/>
    <mergeCell ref="A239:P239"/>
    <mergeCell ref="A240:M240"/>
    <mergeCell ref="A241:J241"/>
    <mergeCell ref="K241:P241"/>
    <mergeCell ref="O230:O232"/>
    <mergeCell ref="P230:P232"/>
    <mergeCell ref="B231:B232"/>
    <mergeCell ref="C231:D231"/>
    <mergeCell ref="E231:F231"/>
    <mergeCell ref="G231:H231"/>
    <mergeCell ref="I231:J231"/>
    <mergeCell ref="K231:L231"/>
    <mergeCell ref="M231:N231"/>
    <mergeCell ref="M243:N243"/>
    <mergeCell ref="A252:O252"/>
    <mergeCell ref="A253:O253"/>
    <mergeCell ref="A254:P254"/>
    <mergeCell ref="A255:M255"/>
    <mergeCell ref="M242:N242"/>
    <mergeCell ref="O242:O244"/>
    <mergeCell ref="P242:P244"/>
    <mergeCell ref="B243:B244"/>
    <mergeCell ref="C243:D243"/>
    <mergeCell ref="E243:F243"/>
    <mergeCell ref="G243:H243"/>
    <mergeCell ref="I243:J243"/>
    <mergeCell ref="K243:L243"/>
    <mergeCell ref="A242:A244"/>
    <mergeCell ref="C242:D242"/>
    <mergeCell ref="E242:F242"/>
    <mergeCell ref="G242:H242"/>
    <mergeCell ref="I242:J242"/>
    <mergeCell ref="K242:L242"/>
    <mergeCell ref="A256:J256"/>
    <mergeCell ref="K256:P256"/>
    <mergeCell ref="A257:A259"/>
    <mergeCell ref="C257:D257"/>
    <mergeCell ref="E257:F257"/>
    <mergeCell ref="G257:H257"/>
    <mergeCell ref="I257:J257"/>
    <mergeCell ref="K257:L257"/>
    <mergeCell ref="M257:N257"/>
    <mergeCell ref="O257:O259"/>
    <mergeCell ref="P257:P259"/>
    <mergeCell ref="B258:B259"/>
    <mergeCell ref="C258:D258"/>
    <mergeCell ref="E258:F258"/>
    <mergeCell ref="G258:H258"/>
    <mergeCell ref="I258:J258"/>
    <mergeCell ref="K258:L258"/>
    <mergeCell ref="M258:N258"/>
    <mergeCell ref="G269:H269"/>
    <mergeCell ref="I269:J269"/>
    <mergeCell ref="K269:L269"/>
    <mergeCell ref="M269:N269"/>
    <mergeCell ref="G261:G262"/>
    <mergeCell ref="H261:H262"/>
    <mergeCell ref="P261:P262"/>
    <mergeCell ref="A266:P266"/>
    <mergeCell ref="A261:A262"/>
    <mergeCell ref="B261:B262"/>
    <mergeCell ref="C261:C262"/>
    <mergeCell ref="D261:D262"/>
    <mergeCell ref="E261:E262"/>
    <mergeCell ref="F261:F262"/>
    <mergeCell ref="A269:A271"/>
    <mergeCell ref="C269:D269"/>
    <mergeCell ref="E269:F269"/>
    <mergeCell ref="P288:P290"/>
    <mergeCell ref="B289:B290"/>
    <mergeCell ref="C289:D289"/>
    <mergeCell ref="E289:F289"/>
    <mergeCell ref="G289:H289"/>
    <mergeCell ref="I289:J289"/>
    <mergeCell ref="K289:L289"/>
    <mergeCell ref="A280:O280"/>
    <mergeCell ref="A281:O281"/>
    <mergeCell ref="A282:O282"/>
    <mergeCell ref="A283:O283"/>
    <mergeCell ref="A284:O284"/>
    <mergeCell ref="A288:A290"/>
    <mergeCell ref="C288:D288"/>
    <mergeCell ref="E288:F288"/>
    <mergeCell ref="G288:H288"/>
    <mergeCell ref="I288:J288"/>
    <mergeCell ref="K288:L288"/>
    <mergeCell ref="M289:N289"/>
    <mergeCell ref="A297:O297"/>
    <mergeCell ref="M288:N288"/>
    <mergeCell ref="O288:O290"/>
    <mergeCell ref="E4:F4"/>
    <mergeCell ref="G4:H4"/>
    <mergeCell ref="I4:J4"/>
    <mergeCell ref="K4:L4"/>
    <mergeCell ref="M4:N4"/>
    <mergeCell ref="A285:P285"/>
    <mergeCell ref="A286:M286"/>
    <mergeCell ref="A287:J287"/>
    <mergeCell ref="K287:P287"/>
    <mergeCell ref="O269:O271"/>
    <mergeCell ref="P269:P271"/>
    <mergeCell ref="B270:B271"/>
    <mergeCell ref="C270:D270"/>
    <mergeCell ref="E270:F270"/>
    <mergeCell ref="G270:H270"/>
    <mergeCell ref="I270:J270"/>
    <mergeCell ref="K270:L270"/>
    <mergeCell ref="M270:N270"/>
    <mergeCell ref="A267:M267"/>
    <mergeCell ref="A268:J268"/>
    <mergeCell ref="K268:P268"/>
  </mergeCells>
  <phoneticPr fontId="48" type="noConversion"/>
  <hyperlinks>
    <hyperlink ref="B12" location="_ftn1" display="_ftn1" xr:uid="{00000000-0004-0000-0100-000000000000}"/>
    <hyperlink ref="H12" location="_ftn2" display="_ftn2" xr:uid="{00000000-0004-0000-0100-000001000000}"/>
    <hyperlink ref="J15" location="_ftn3" display="_ftn3" xr:uid="{00000000-0004-0000-0100-000002000000}"/>
    <hyperlink ref="B16" location="_ftn4" display="_ftn4" xr:uid="{00000000-0004-0000-0100-000003000000}"/>
    <hyperlink ref="H17" location="_ftn5" display="_ftn5" xr:uid="{00000000-0004-0000-0100-000004000000}"/>
    <hyperlink ref="H18" location="_ftn6" display="_ftn6" xr:uid="{00000000-0004-0000-0100-000005000000}"/>
    <hyperlink ref="I19" location="_ftn7" display="_ftn7" xr:uid="{00000000-0004-0000-0100-000006000000}"/>
    <hyperlink ref="B21" location="_ftn8" display="_ftn8" xr:uid="{00000000-0004-0000-0100-000007000000}"/>
    <hyperlink ref="J21" location="_ftn9" display="_ftn9" xr:uid="{00000000-0004-0000-0100-000008000000}"/>
    <hyperlink ref="J22" location="_ftn10" display="_ftn10" xr:uid="{00000000-0004-0000-0100-000009000000}"/>
    <hyperlink ref="J23" location="_ftn11" display="_ftn11" xr:uid="{00000000-0004-0000-0100-00000A000000}"/>
    <hyperlink ref="B25" location="_ftn12" display="_ftn12" xr:uid="{00000000-0004-0000-0100-00000B000000}"/>
    <hyperlink ref="H25" location="_ftn13" display="_ftn13" xr:uid="{00000000-0004-0000-0100-00000C000000}"/>
    <hyperlink ref="J25" location="_ftn14" display="_ftn14" xr:uid="{00000000-0004-0000-0100-00000D000000}"/>
    <hyperlink ref="J26" location="_ftn15" display="_ftn15" xr:uid="{00000000-0004-0000-0100-00000E000000}"/>
    <hyperlink ref="J28" location="_ftn16" display="_ftn16" xr:uid="{00000000-0004-0000-0100-00000F000000}"/>
    <hyperlink ref="B29" location="_ftn17" display="_ftn17" xr:uid="{00000000-0004-0000-0100-000010000000}"/>
    <hyperlink ref="J29" location="_ftn18" display="_ftn18" xr:uid="{00000000-0004-0000-0100-000011000000}"/>
    <hyperlink ref="D30" location="_ftn19" display="_ftn19" xr:uid="{00000000-0004-0000-0100-000012000000}"/>
    <hyperlink ref="D31" location="_ftn20" display="_ftn20" xr:uid="{00000000-0004-0000-0100-000013000000}"/>
    <hyperlink ref="A33" location="_ftnref1" display="_ftnref1" xr:uid="{00000000-0004-0000-0100-000014000000}"/>
    <hyperlink ref="A34" location="_ftnref2" display="_ftnref2" xr:uid="{00000000-0004-0000-0100-000015000000}"/>
    <hyperlink ref="A35" location="_ftnref3" display="_ftnref3" xr:uid="{00000000-0004-0000-0100-000016000000}"/>
    <hyperlink ref="A36" location="_ftnref4" display="_ftnref4" xr:uid="{00000000-0004-0000-0100-000017000000}"/>
    <hyperlink ref="A37" location="_ftnref5" display="_ftnref5" xr:uid="{00000000-0004-0000-0100-000018000000}"/>
    <hyperlink ref="A38" location="_ftnref6" display="_ftnref6" xr:uid="{00000000-0004-0000-0100-000019000000}"/>
    <hyperlink ref="A39" location="_ftnref7" display="_ftnref7" xr:uid="{00000000-0004-0000-0100-00001A000000}"/>
    <hyperlink ref="A40" location="_ftnref8" display="_ftnref8" xr:uid="{00000000-0004-0000-0100-00001B000000}"/>
    <hyperlink ref="A41" location="_ftnref9" display="_ftnref9" xr:uid="{00000000-0004-0000-0100-00001C000000}"/>
    <hyperlink ref="A42" location="_ftnref10" display="_ftnref10" xr:uid="{00000000-0004-0000-0100-00001D000000}"/>
    <hyperlink ref="A43" location="_ftnref11" display="_ftnref11" xr:uid="{00000000-0004-0000-0100-00001E000000}"/>
    <hyperlink ref="A44" location="_ftnref12" display="_ftnref12" xr:uid="{00000000-0004-0000-0100-00001F000000}"/>
    <hyperlink ref="A45" location="_ftnref13" display="_ftnref13" xr:uid="{00000000-0004-0000-0100-000020000000}"/>
    <hyperlink ref="A46" location="_ftnref14" display="_ftnref14" xr:uid="{00000000-0004-0000-0100-000021000000}"/>
    <hyperlink ref="A47" location="_ftnref15" display="_ftnref15" xr:uid="{00000000-0004-0000-0100-000022000000}"/>
    <hyperlink ref="A48" location="_ftnref16" display="_ftnref16" xr:uid="{00000000-0004-0000-0100-000023000000}"/>
    <hyperlink ref="A49" location="_ftnref17" display="_ftnref17" xr:uid="{00000000-0004-0000-0100-000024000000}"/>
    <hyperlink ref="A50" location="_ftnref18" display="_ftnref18" xr:uid="{00000000-0004-0000-0100-000025000000}"/>
    <hyperlink ref="A51" location="_ftnref19" display="_ftnref19" xr:uid="{00000000-0004-0000-0100-000026000000}"/>
    <hyperlink ref="A52" location="_ftnref20" display="_ftnref20" xr:uid="{00000000-0004-0000-0100-000027000000}"/>
    <hyperlink ref="J59" location="_ftn1" display="_ftn1" xr:uid="{00000000-0004-0000-0100-000028000000}"/>
    <hyperlink ref="J60" location="_ftn2" display="_ftn2" xr:uid="{00000000-0004-0000-0100-000029000000}"/>
    <hyperlink ref="J61" location="_ftn3" display="_ftn3" xr:uid="{00000000-0004-0000-0100-00002A000000}"/>
    <hyperlink ref="J62" location="_ftn4" display="_ftn4" xr:uid="{00000000-0004-0000-0100-00002B000000}"/>
    <hyperlink ref="J63" location="_ftn5" display="_ftn5" xr:uid="{00000000-0004-0000-0100-00002C000000}"/>
    <hyperlink ref="J64" location="_ftn6" display="_ftn6" xr:uid="{00000000-0004-0000-0100-00002D000000}"/>
    <hyperlink ref="J65" location="_ftn7" display="_ftn7" xr:uid="{00000000-0004-0000-0100-00002E000000}"/>
    <hyperlink ref="J66" location="_ftn8" display="_ftn8" xr:uid="{00000000-0004-0000-0100-00002F000000}"/>
    <hyperlink ref="J67" location="_ftn9" display="_ftn9" xr:uid="{00000000-0004-0000-0100-000030000000}"/>
    <hyperlink ref="J69" location="_ftn10" display="_ftn10" xr:uid="{00000000-0004-0000-0100-000031000000}"/>
    <hyperlink ref="J71" location="_ftn11" display="_ftn11" xr:uid="{00000000-0004-0000-0100-000032000000}"/>
    <hyperlink ref="J72" location="_ftn12" display="_ftn12" xr:uid="{00000000-0004-0000-0100-000033000000}"/>
    <hyperlink ref="J73" location="_ftn13" display="_ftn13" xr:uid="{00000000-0004-0000-0100-000034000000}"/>
    <hyperlink ref="J74" location="_ftn14" display="_ftn14" xr:uid="{00000000-0004-0000-0100-000035000000}"/>
    <hyperlink ref="J75" location="_ftn15" display="_ftn15" xr:uid="{00000000-0004-0000-0100-000036000000}"/>
    <hyperlink ref="J76" location="_ftn16" display="_ftn16" xr:uid="{00000000-0004-0000-0100-000037000000}"/>
    <hyperlink ref="J79" location="_ftn17" display="_ftn17" xr:uid="{00000000-0004-0000-0100-000038000000}"/>
    <hyperlink ref="J80" location="_ftn18" display="_ftn18" xr:uid="{00000000-0004-0000-0100-000039000000}"/>
    <hyperlink ref="J81" location="_ftn19" display="_ftn19" xr:uid="{00000000-0004-0000-0100-00003A000000}"/>
    <hyperlink ref="J83" location="_ftn20" display="_ftn20" xr:uid="{00000000-0004-0000-0100-00003B000000}"/>
    <hyperlink ref="A85" location="_ftnref1" display="_ftnref1" xr:uid="{00000000-0004-0000-0100-00003C000000}"/>
    <hyperlink ref="A86" location="_ftnref2" display="_ftnref2" xr:uid="{00000000-0004-0000-0100-00003D000000}"/>
    <hyperlink ref="A87" location="_ftnref3" display="_ftnref3" xr:uid="{00000000-0004-0000-0100-00003E000000}"/>
    <hyperlink ref="A88" location="_ftnref4" display="_ftnref4" xr:uid="{00000000-0004-0000-0100-00003F000000}"/>
    <hyperlink ref="A89" location="_ftnref5" display="_ftnref5" xr:uid="{00000000-0004-0000-0100-000040000000}"/>
    <hyperlink ref="A90" location="_ftnref6" display="_ftnref6" xr:uid="{00000000-0004-0000-0100-000041000000}"/>
    <hyperlink ref="A91" location="_ftnref7" display="_ftnref7" xr:uid="{00000000-0004-0000-0100-000042000000}"/>
    <hyperlink ref="A92" location="_ftnref8" display="_ftnref8" xr:uid="{00000000-0004-0000-0100-000043000000}"/>
    <hyperlink ref="A93" location="_ftnref9" display="_ftnref9" xr:uid="{00000000-0004-0000-0100-000044000000}"/>
    <hyperlink ref="A94" location="_ftnref10" display="_ftnref10" xr:uid="{00000000-0004-0000-0100-000045000000}"/>
    <hyperlink ref="A95" location="_ftnref11" display="_ftnref11" xr:uid="{00000000-0004-0000-0100-000046000000}"/>
    <hyperlink ref="A96" location="_ftnref12" display="_ftnref12" xr:uid="{00000000-0004-0000-0100-000047000000}"/>
    <hyperlink ref="A97" location="_ftnref13" display="_ftnref13" xr:uid="{00000000-0004-0000-0100-000048000000}"/>
    <hyperlink ref="A98" location="_ftnref14" display="_ftnref14" xr:uid="{00000000-0004-0000-0100-000049000000}"/>
    <hyperlink ref="A99" location="_ftnref15" display="_ftnref15" xr:uid="{00000000-0004-0000-0100-00004A000000}"/>
    <hyperlink ref="A100" location="_ftnref16" display="_ftnref16" xr:uid="{00000000-0004-0000-0100-00004B000000}"/>
    <hyperlink ref="A101" location="_ftnref17" display="_ftnref17" xr:uid="{00000000-0004-0000-0100-00004C000000}"/>
    <hyperlink ref="A102" location="_ftnref18" display="_ftnref18" xr:uid="{00000000-0004-0000-0100-00004D000000}"/>
    <hyperlink ref="A103" location="_ftnref19" display="_ftnref19" xr:uid="{00000000-0004-0000-0100-00004E000000}"/>
    <hyperlink ref="A104" location="_ftnref20" display="_ftnref20" xr:uid="{00000000-0004-0000-0100-00004F000000}"/>
    <hyperlink ref="A111" location="_ftn1" display="_ftn1" xr:uid="{00000000-0004-0000-0100-000050000000}"/>
    <hyperlink ref="J112" location="_ftn2" display="_ftn2" xr:uid="{00000000-0004-0000-0100-000051000000}"/>
    <hyperlink ref="J113" location="_ftn3" display="_ftn3" xr:uid="{00000000-0004-0000-0100-000052000000}"/>
    <hyperlink ref="A115" location="_ftnref1" display="_ftnref1" xr:uid="{00000000-0004-0000-0100-000053000000}"/>
    <hyperlink ref="A116" location="_ftnref2" display="_ftnref2" xr:uid="{00000000-0004-0000-0100-000054000000}"/>
    <hyperlink ref="A117" location="_ftnref3" display="_ftnref3" xr:uid="{00000000-0004-0000-0100-000055000000}"/>
    <hyperlink ref="J124" location="_ftn1" display="_ftn1" xr:uid="{00000000-0004-0000-0100-000056000000}"/>
    <hyperlink ref="J125" location="_ftn2" display="_ftn2" xr:uid="{00000000-0004-0000-0100-000057000000}"/>
    <hyperlink ref="J126" location="_ftn3" display="_ftn3" xr:uid="{00000000-0004-0000-0100-000058000000}"/>
    <hyperlink ref="H127" location="_ftn4" display="_ftn4" xr:uid="{00000000-0004-0000-0100-000059000000}"/>
    <hyperlink ref="J129" location="_ftn5" display="_ftn5" xr:uid="{00000000-0004-0000-0100-00005A000000}"/>
    <hyperlink ref="J130" location="_ftn6" display="_ftn6" xr:uid="{00000000-0004-0000-0100-00005B000000}"/>
    <hyperlink ref="J132" location="_ftn7" display="_ftn7" xr:uid="{00000000-0004-0000-0100-00005C000000}"/>
    <hyperlink ref="J133" location="_ftn8" display="_ftn8" xr:uid="{00000000-0004-0000-0100-00005D000000}"/>
    <hyperlink ref="J134" location="_ftn9" display="_ftn9" xr:uid="{00000000-0004-0000-0100-00005E000000}"/>
    <hyperlink ref="J136" location="_ftn10" display="_ftn10" xr:uid="{00000000-0004-0000-0100-00005F000000}"/>
    <hyperlink ref="J138" location="_ftn11" display="_ftn11" xr:uid="{00000000-0004-0000-0100-000060000000}"/>
    <hyperlink ref="J140" location="_ftn12" display="_ftn12" xr:uid="{00000000-0004-0000-0100-000061000000}"/>
    <hyperlink ref="J141" location="_ftn13" display="_ftn13" xr:uid="{00000000-0004-0000-0100-000062000000}"/>
    <hyperlink ref="A146" location="_ftnref1" display="_ftnref1" xr:uid="{00000000-0004-0000-0100-000063000000}"/>
    <hyperlink ref="A147" location="_ftnref2" display="_ftnref2" xr:uid="{00000000-0004-0000-0100-000064000000}"/>
    <hyperlink ref="A148" location="_ftnref3" display="_ftnref3" xr:uid="{00000000-0004-0000-0100-000065000000}"/>
    <hyperlink ref="A149" location="_ftnref4" display="_ftnref4" xr:uid="{00000000-0004-0000-0100-000066000000}"/>
    <hyperlink ref="A150" location="_ftnref5" display="_ftnref5" xr:uid="{00000000-0004-0000-0100-000067000000}"/>
    <hyperlink ref="A151" location="_ftnref6" display="_ftnref6" xr:uid="{00000000-0004-0000-0100-000068000000}"/>
    <hyperlink ref="A152" location="_ftnref7" display="_ftnref7" xr:uid="{00000000-0004-0000-0100-000069000000}"/>
    <hyperlink ref="A153" location="_ftnref8" display="_ftnref8" xr:uid="{00000000-0004-0000-0100-00006A000000}"/>
    <hyperlink ref="A154" location="_ftnref9" display="_ftnref9" xr:uid="{00000000-0004-0000-0100-00006B000000}"/>
    <hyperlink ref="A155" location="_ftnref10" display="_ftnref10" xr:uid="{00000000-0004-0000-0100-00006C000000}"/>
    <hyperlink ref="A156" location="_ftnref11" display="_ftnref11" xr:uid="{00000000-0004-0000-0100-00006D000000}"/>
    <hyperlink ref="A157" location="_ftnref12" display="_ftnref12" xr:uid="{00000000-0004-0000-0100-00006E000000}"/>
    <hyperlink ref="A158" location="_ftnref13" display="_ftnref13" xr:uid="{00000000-0004-0000-0100-00006F000000}"/>
    <hyperlink ref="J164" location="_ftn1" display="_ftn1" xr:uid="{00000000-0004-0000-0100-000070000000}"/>
    <hyperlink ref="D167" location="_ftn2" display="_ftn2" xr:uid="{00000000-0004-0000-0100-000071000000}"/>
    <hyperlink ref="F167" location="_ftn3" display="_ftn3" xr:uid="{00000000-0004-0000-0100-000072000000}"/>
    <hyperlink ref="A175" location="_ftnref1" display="_ftnref1" xr:uid="{00000000-0004-0000-0100-000073000000}"/>
    <hyperlink ref="A176" location="_ftnref2" display="_ftnref2" xr:uid="{00000000-0004-0000-0100-000074000000}"/>
    <hyperlink ref="A177" location="_ftnref3" display="_ftnref3" xr:uid="{00000000-0004-0000-0100-000075000000}"/>
    <hyperlink ref="F189" location="_ftn1" display="_ftn1" xr:uid="{00000000-0004-0000-0100-000076000000}"/>
    <hyperlink ref="A191" location="_ftnref1" display="_ftnref1" xr:uid="{00000000-0004-0000-0100-000077000000}"/>
    <hyperlink ref="J198" location="_ftn1" display="_ftn1" xr:uid="{00000000-0004-0000-0100-000078000000}"/>
    <hyperlink ref="J201" location="_ftn2" display="_ftn2" xr:uid="{00000000-0004-0000-0100-000079000000}"/>
    <hyperlink ref="J205" location="_ftn3" display="_ftn3" xr:uid="{00000000-0004-0000-0100-00007A000000}"/>
    <hyperlink ref="J206" location="_ftn4" display="_ftn4" xr:uid="{00000000-0004-0000-0100-00007B000000}"/>
    <hyperlink ref="A209" location="_ftnref1" display="_ftnref1" xr:uid="{00000000-0004-0000-0100-00007C000000}"/>
    <hyperlink ref="A210" location="_ftnref2" display="_ftnref2" xr:uid="{00000000-0004-0000-0100-00007D000000}"/>
    <hyperlink ref="A211" location="_ftnref3" display="_ftnref3" xr:uid="{00000000-0004-0000-0100-00007E000000}"/>
    <hyperlink ref="A212" location="_ftnref4" display="_ftnref4" xr:uid="{00000000-0004-0000-0100-00007F000000}"/>
    <hyperlink ref="J219" location="_ftn1" display="_ftn1" xr:uid="{00000000-0004-0000-0100-000080000000}"/>
    <hyperlink ref="J223" location="_ftn2" display="_ftn2" xr:uid="{00000000-0004-0000-0100-000081000000}"/>
    <hyperlink ref="A225" location="_ftnref1" display="_ftnref1" xr:uid="{00000000-0004-0000-0100-000082000000}"/>
    <hyperlink ref="A226" location="_ftnref2" display="_ftnref2" xr:uid="{00000000-0004-0000-0100-000083000000}"/>
    <hyperlink ref="B233" location="_ftn1" display="_ftn1" xr:uid="{00000000-0004-0000-0100-000084000000}"/>
    <hyperlink ref="J234" location="_ftn2" display="_ftn2" xr:uid="{00000000-0004-0000-0100-000085000000}"/>
    <hyperlink ref="A237" location="_ftnref1" display="_ftnref1" xr:uid="{00000000-0004-0000-0100-000086000000}"/>
    <hyperlink ref="A238" location="_ftnref2" display="_ftnref2" xr:uid="{00000000-0004-0000-0100-000087000000}"/>
    <hyperlink ref="J248" location="_ftn1" display="_ftn1" xr:uid="{00000000-0004-0000-0100-000088000000}"/>
    <hyperlink ref="J250" location="_ftn2" display="_ftn2" xr:uid="{00000000-0004-0000-0100-000089000000}"/>
    <hyperlink ref="A252" location="_ftnref1" display="_ftnref1" xr:uid="{00000000-0004-0000-0100-00008A000000}"/>
    <hyperlink ref="A253" location="_ftnref2" display="_ftnref2" xr:uid="{00000000-0004-0000-0100-00008B000000}"/>
    <hyperlink ref="H261" location="_ftn1" display="_ftn1" xr:uid="{00000000-0004-0000-0100-00008C000000}"/>
    <hyperlink ref="A265" location="_ftnref1" display="_ftnref1" xr:uid="{00000000-0004-0000-0100-00008D000000}"/>
    <hyperlink ref="J273" location="_ftn1" display="_ftn1" xr:uid="{00000000-0004-0000-0100-00008E000000}"/>
    <hyperlink ref="J274" location="_ftn2" display="_ftn2" xr:uid="{00000000-0004-0000-0100-00008F000000}"/>
    <hyperlink ref="B275" location="_ftn3" display="_ftn3" xr:uid="{00000000-0004-0000-0100-000090000000}"/>
    <hyperlink ref="H276" location="_ftn4" display="_ftn4" xr:uid="{00000000-0004-0000-0100-000091000000}"/>
    <hyperlink ref="J277" location="_ftn5" display="_ftn5" xr:uid="{00000000-0004-0000-0100-000092000000}"/>
    <hyperlink ref="A280" location="_ftnref1" display="_ftnref1" xr:uid="{00000000-0004-0000-0100-000093000000}"/>
    <hyperlink ref="A281" location="_ftnref2" display="_ftnref2" xr:uid="{00000000-0004-0000-0100-000094000000}"/>
    <hyperlink ref="A282" location="_ftnref3" display="_ftnref3" xr:uid="{00000000-0004-0000-0100-000095000000}"/>
    <hyperlink ref="A283" location="_ftnref4" display="_ftnref4" xr:uid="{00000000-0004-0000-0100-000096000000}"/>
    <hyperlink ref="A284" location="_ftnref5" display="_ftnref5" xr:uid="{00000000-0004-0000-0100-000097000000}"/>
    <hyperlink ref="J292" location="_ftn1" display="_ftn1" xr:uid="{00000000-0004-0000-0100-000098000000}"/>
    <hyperlink ref="A297" location="_ftnref1" display="_ftnref1" xr:uid="{00000000-0004-0000-0100-000099000000}"/>
  </hyperlinks>
  <pageMargins left="0.511811024" right="0.511811024" top="0.78740157499999996" bottom="0.78740157499999996" header="0.31496062000000002" footer="0.31496062000000002"/>
  <pageSetup paperSize="9" orientation="portrait" r:id="rId1"/>
  <ignoredErrors>
    <ignoredError sqref="N201 N249"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19"/>
  <sheetViews>
    <sheetView zoomScaleNormal="100" workbookViewId="0">
      <selection activeCell="A180" sqref="A180:J180"/>
    </sheetView>
  </sheetViews>
  <sheetFormatPr defaultRowHeight="15" x14ac:dyDescent="0.2"/>
  <cols>
    <col min="1" max="1" width="16.41015625" customWidth="1"/>
    <col min="2" max="2" width="16.6796875" customWidth="1"/>
    <col min="3" max="3" width="15.87109375" customWidth="1"/>
    <col min="4" max="4" width="14.2578125" customWidth="1"/>
    <col min="5" max="5" width="16.94921875" customWidth="1"/>
    <col min="6" max="7" width="18.29296875" customWidth="1"/>
    <col min="8" max="8" width="22.734375" customWidth="1"/>
    <col min="9" max="9" width="20.4453125" customWidth="1"/>
    <col min="10" max="10" width="20.04296875" customWidth="1"/>
    <col min="11" max="11" width="18.5625" style="210" customWidth="1"/>
  </cols>
  <sheetData>
    <row r="1" spans="1:17" s="1" customFormat="1" ht="50.45" customHeight="1" x14ac:dyDescent="0.2">
      <c r="A1" s="398" t="s">
        <v>0</v>
      </c>
      <c r="B1" s="398"/>
      <c r="C1" s="398"/>
      <c r="D1" s="398"/>
      <c r="E1" s="398"/>
      <c r="F1" s="398"/>
      <c r="G1" s="398"/>
      <c r="H1" s="398"/>
      <c r="I1" s="398"/>
      <c r="J1" s="398"/>
      <c r="K1" s="207"/>
      <c r="L1" s="168"/>
      <c r="M1" s="168"/>
      <c r="N1" s="168"/>
      <c r="O1" s="168"/>
      <c r="P1" s="168"/>
      <c r="Q1" s="168"/>
    </row>
    <row r="2" spans="1:17" s="1" customFormat="1" ht="33" customHeight="1" x14ac:dyDescent="0.2">
      <c r="A2" s="394" t="s">
        <v>1</v>
      </c>
      <c r="B2" s="394"/>
      <c r="C2" s="394"/>
      <c r="D2" s="394"/>
      <c r="E2" s="394"/>
      <c r="F2" s="394"/>
      <c r="G2" s="394"/>
      <c r="H2" s="394"/>
      <c r="I2" s="394"/>
      <c r="J2" s="394"/>
      <c r="K2" s="207"/>
      <c r="L2" s="168"/>
      <c r="M2" s="168"/>
      <c r="N2" s="168"/>
      <c r="O2" s="168"/>
      <c r="P2" s="168"/>
      <c r="Q2" s="168"/>
    </row>
    <row r="3" spans="1:17" s="167" customFormat="1" ht="30" customHeight="1" x14ac:dyDescent="0.2">
      <c r="A3" s="169" t="s">
        <v>569</v>
      </c>
      <c r="B3" s="170" t="s">
        <v>594</v>
      </c>
      <c r="C3" s="171" t="s">
        <v>595</v>
      </c>
      <c r="D3" s="169" t="s">
        <v>596</v>
      </c>
      <c r="E3" s="170" t="s">
        <v>570</v>
      </c>
      <c r="F3" s="170" t="s">
        <v>574</v>
      </c>
      <c r="G3" s="170" t="s">
        <v>575</v>
      </c>
      <c r="H3" s="171" t="s">
        <v>571</v>
      </c>
      <c r="I3" s="171" t="s">
        <v>572</v>
      </c>
      <c r="J3" s="171" t="s">
        <v>573</v>
      </c>
      <c r="K3" s="208"/>
    </row>
    <row r="4" spans="1:17" s="166" customFormat="1" x14ac:dyDescent="0.2">
      <c r="A4" s="172">
        <v>20</v>
      </c>
      <c r="B4" s="173">
        <v>8</v>
      </c>
      <c r="C4" s="174">
        <v>10</v>
      </c>
      <c r="D4" s="172">
        <v>2</v>
      </c>
      <c r="E4" s="173">
        <v>7</v>
      </c>
      <c r="F4" s="173">
        <v>1</v>
      </c>
      <c r="G4" s="173"/>
      <c r="H4" s="174">
        <v>7</v>
      </c>
      <c r="I4" s="174">
        <v>3</v>
      </c>
      <c r="J4" s="174">
        <v>0</v>
      </c>
      <c r="K4" s="209"/>
    </row>
    <row r="5" spans="1:17" s="166" customFormat="1" x14ac:dyDescent="0.2">
      <c r="A5" s="205"/>
      <c r="B5" s="191"/>
      <c r="C5" s="401" t="s">
        <v>590</v>
      </c>
      <c r="D5" s="402"/>
      <c r="E5" s="402"/>
      <c r="F5" s="402"/>
      <c r="G5" s="402"/>
      <c r="H5" s="403"/>
      <c r="I5" s="192"/>
      <c r="J5" s="192"/>
      <c r="K5" s="194"/>
    </row>
    <row r="6" spans="1:17" s="166" customFormat="1" x14ac:dyDescent="0.2">
      <c r="A6" s="205"/>
      <c r="B6" s="193"/>
      <c r="C6" s="196" t="s">
        <v>585</v>
      </c>
      <c r="D6" s="196" t="s">
        <v>586</v>
      </c>
      <c r="E6" s="196" t="s">
        <v>587</v>
      </c>
      <c r="F6" s="196" t="s">
        <v>588</v>
      </c>
      <c r="G6" s="196" t="s">
        <v>589</v>
      </c>
      <c r="H6" s="196" t="s">
        <v>53</v>
      </c>
      <c r="I6" s="194"/>
      <c r="J6" s="194"/>
      <c r="K6" s="194"/>
    </row>
    <row r="7" spans="1:17" s="166" customFormat="1" x14ac:dyDescent="0.2">
      <c r="A7" s="205"/>
      <c r="B7" s="193"/>
      <c r="C7" s="197">
        <v>16</v>
      </c>
      <c r="D7" s="198">
        <v>1</v>
      </c>
      <c r="E7" s="199">
        <v>2</v>
      </c>
      <c r="F7" s="203">
        <v>0</v>
      </c>
      <c r="G7" s="204">
        <v>0</v>
      </c>
      <c r="H7" s="195">
        <v>1</v>
      </c>
      <c r="I7" s="194"/>
      <c r="J7" s="194"/>
      <c r="K7" s="194"/>
    </row>
    <row r="8" spans="1:17" s="166" customFormat="1" x14ac:dyDescent="0.2">
      <c r="A8" s="205"/>
      <c r="B8" s="193"/>
      <c r="C8" s="401" t="s">
        <v>591</v>
      </c>
      <c r="D8" s="402"/>
      <c r="E8" s="402"/>
      <c r="F8" s="402"/>
      <c r="G8" s="402"/>
      <c r="H8" s="403"/>
      <c r="I8" s="194"/>
      <c r="J8" s="194"/>
      <c r="K8" s="194"/>
    </row>
    <row r="9" spans="1:17" s="166" customFormat="1" x14ac:dyDescent="0.2">
      <c r="A9" s="205"/>
      <c r="B9" s="193"/>
      <c r="C9" s="196" t="s">
        <v>585</v>
      </c>
      <c r="D9" s="196" t="s">
        <v>586</v>
      </c>
      <c r="E9" s="196" t="s">
        <v>587</v>
      </c>
      <c r="F9" s="196" t="s">
        <v>588</v>
      </c>
      <c r="G9" s="196" t="s">
        <v>589</v>
      </c>
      <c r="H9" s="196" t="s">
        <v>53</v>
      </c>
      <c r="I9" s="194"/>
      <c r="J9" s="194"/>
      <c r="K9" s="194"/>
    </row>
    <row r="10" spans="1:17" s="166" customFormat="1" x14ac:dyDescent="0.2">
      <c r="A10" s="205"/>
      <c r="B10" s="193"/>
      <c r="C10" s="197">
        <v>13</v>
      </c>
      <c r="D10" s="198">
        <v>3</v>
      </c>
      <c r="E10" s="200">
        <v>0</v>
      </c>
      <c r="F10" s="203">
        <v>0</v>
      </c>
      <c r="G10" s="204">
        <v>3</v>
      </c>
      <c r="H10" s="195">
        <v>1</v>
      </c>
      <c r="I10" s="194"/>
      <c r="J10" s="194"/>
      <c r="K10" s="194"/>
    </row>
    <row r="11" spans="1:17" x14ac:dyDescent="0.2">
      <c r="A11" s="399"/>
      <c r="B11" s="399"/>
      <c r="C11" s="399"/>
      <c r="D11" s="399"/>
      <c r="E11" s="399"/>
      <c r="F11" s="399"/>
      <c r="G11" s="399"/>
      <c r="H11" s="399"/>
      <c r="I11" s="399"/>
      <c r="J11" s="399"/>
    </row>
    <row r="12" spans="1:17" ht="34.5" customHeight="1" x14ac:dyDescent="0.2">
      <c r="A12" s="395" t="s">
        <v>132</v>
      </c>
      <c r="B12" s="396"/>
      <c r="C12" s="396"/>
      <c r="D12" s="396"/>
      <c r="E12" s="396"/>
      <c r="F12" s="396"/>
      <c r="G12" s="396"/>
      <c r="H12" s="396"/>
      <c r="I12" s="396"/>
      <c r="J12" s="397"/>
      <c r="K12" s="207"/>
      <c r="L12" s="168"/>
      <c r="M12" s="168"/>
      <c r="N12" s="168"/>
    </row>
    <row r="13" spans="1:17" ht="30" customHeight="1" x14ac:dyDescent="0.2">
      <c r="A13" s="169" t="s">
        <v>569</v>
      </c>
      <c r="B13" s="170" t="s">
        <v>594</v>
      </c>
      <c r="C13" s="171" t="s">
        <v>595</v>
      </c>
      <c r="D13" s="169" t="s">
        <v>596</v>
      </c>
      <c r="E13" s="170" t="s">
        <v>570</v>
      </c>
      <c r="F13" s="170" t="s">
        <v>574</v>
      </c>
      <c r="G13" s="170" t="s">
        <v>575</v>
      </c>
      <c r="H13" s="171" t="s">
        <v>571</v>
      </c>
      <c r="I13" s="171" t="s">
        <v>572</v>
      </c>
      <c r="J13" s="171" t="s">
        <v>573</v>
      </c>
    </row>
    <row r="14" spans="1:17" x14ac:dyDescent="0.2">
      <c r="A14" s="172">
        <v>25</v>
      </c>
      <c r="B14" s="173">
        <v>7</v>
      </c>
      <c r="C14" s="174">
        <v>18</v>
      </c>
      <c r="D14" s="172">
        <v>0</v>
      </c>
      <c r="E14" s="173">
        <v>6</v>
      </c>
      <c r="F14" s="173">
        <v>1</v>
      </c>
      <c r="G14" s="173"/>
      <c r="H14" s="174">
        <v>10</v>
      </c>
      <c r="I14" s="174">
        <v>7</v>
      </c>
      <c r="J14" s="174">
        <v>1</v>
      </c>
    </row>
    <row r="15" spans="1:17" s="166" customFormat="1" x14ac:dyDescent="0.2">
      <c r="A15" s="205"/>
      <c r="B15" s="191"/>
      <c r="C15" s="401" t="s">
        <v>590</v>
      </c>
      <c r="D15" s="402"/>
      <c r="E15" s="402"/>
      <c r="F15" s="402"/>
      <c r="G15" s="402"/>
      <c r="H15" s="403"/>
      <c r="I15" s="192"/>
      <c r="J15" s="192"/>
      <c r="K15" s="194"/>
    </row>
    <row r="16" spans="1:17" s="166" customFormat="1" x14ac:dyDescent="0.2">
      <c r="A16" s="205"/>
      <c r="B16" s="193"/>
      <c r="C16" s="196" t="s">
        <v>585</v>
      </c>
      <c r="D16" s="196" t="s">
        <v>586</v>
      </c>
      <c r="E16" s="196" t="s">
        <v>587</v>
      </c>
      <c r="F16" s="196" t="s">
        <v>588</v>
      </c>
      <c r="G16" s="196" t="s">
        <v>589</v>
      </c>
      <c r="H16" s="196" t="s">
        <v>53</v>
      </c>
      <c r="I16" s="194"/>
      <c r="J16" s="194"/>
      <c r="K16" s="194"/>
    </row>
    <row r="17" spans="1:14" s="166" customFormat="1" x14ac:dyDescent="0.2">
      <c r="A17" s="205"/>
      <c r="B17" s="193"/>
      <c r="C17" s="197">
        <v>21</v>
      </c>
      <c r="D17" s="198">
        <v>3</v>
      </c>
      <c r="E17" s="200">
        <v>1</v>
      </c>
      <c r="F17" s="203">
        <v>0</v>
      </c>
      <c r="G17" s="204">
        <v>0</v>
      </c>
      <c r="H17" s="195">
        <v>0</v>
      </c>
      <c r="I17" s="194"/>
      <c r="J17" s="194"/>
      <c r="K17" s="194"/>
    </row>
    <row r="18" spans="1:14" s="166" customFormat="1" x14ac:dyDescent="0.2">
      <c r="A18" s="205"/>
      <c r="B18" s="193"/>
      <c r="C18" s="401" t="s">
        <v>591</v>
      </c>
      <c r="D18" s="402"/>
      <c r="E18" s="402"/>
      <c r="F18" s="402"/>
      <c r="G18" s="402"/>
      <c r="H18" s="403"/>
      <c r="I18" s="194"/>
      <c r="J18" s="194"/>
      <c r="K18" s="194"/>
    </row>
    <row r="19" spans="1:14" s="166" customFormat="1" x14ac:dyDescent="0.2">
      <c r="A19" s="205"/>
      <c r="B19" s="193"/>
      <c r="C19" s="196" t="s">
        <v>585</v>
      </c>
      <c r="D19" s="196" t="s">
        <v>586</v>
      </c>
      <c r="E19" s="196" t="s">
        <v>587</v>
      </c>
      <c r="F19" s="196" t="s">
        <v>588</v>
      </c>
      <c r="G19" s="196" t="s">
        <v>589</v>
      </c>
      <c r="H19" s="196" t="s">
        <v>53</v>
      </c>
      <c r="I19" s="194"/>
      <c r="J19" s="194"/>
      <c r="K19" s="194"/>
    </row>
    <row r="20" spans="1:14" s="166" customFormat="1" x14ac:dyDescent="0.2">
      <c r="A20" s="205"/>
      <c r="B20" s="193"/>
      <c r="C20" s="197">
        <v>18</v>
      </c>
      <c r="D20" s="198">
        <v>1</v>
      </c>
      <c r="E20" s="200">
        <v>0</v>
      </c>
      <c r="F20" s="203">
        <v>0</v>
      </c>
      <c r="G20" s="204">
        <v>6</v>
      </c>
      <c r="H20" s="195">
        <v>0</v>
      </c>
      <c r="I20" s="194"/>
      <c r="J20" s="194"/>
      <c r="K20" s="194"/>
    </row>
    <row r="21" spans="1:14" x14ac:dyDescent="0.2">
      <c r="A21" s="399"/>
      <c r="B21" s="399"/>
      <c r="C21" s="399"/>
      <c r="D21" s="399"/>
      <c r="E21" s="399"/>
      <c r="F21" s="399"/>
      <c r="G21" s="399"/>
      <c r="H21" s="399"/>
      <c r="I21" s="399"/>
      <c r="J21" s="399"/>
    </row>
    <row r="22" spans="1:14" ht="36" customHeight="1" x14ac:dyDescent="0.2">
      <c r="A22" s="394" t="s">
        <v>236</v>
      </c>
      <c r="B22" s="394"/>
      <c r="C22" s="394"/>
      <c r="D22" s="394"/>
      <c r="E22" s="394"/>
      <c r="F22" s="394"/>
      <c r="G22" s="394"/>
      <c r="H22" s="394"/>
      <c r="I22" s="394"/>
      <c r="J22" s="394"/>
      <c r="K22" s="207"/>
      <c r="L22" s="168"/>
      <c r="M22" s="168"/>
      <c r="N22" s="168"/>
    </row>
    <row r="23" spans="1:14" ht="30" customHeight="1" x14ac:dyDescent="0.2">
      <c r="A23" s="169" t="s">
        <v>569</v>
      </c>
      <c r="B23" s="170" t="s">
        <v>594</v>
      </c>
      <c r="C23" s="171" t="s">
        <v>595</v>
      </c>
      <c r="D23" s="169" t="s">
        <v>596</v>
      </c>
      <c r="E23" s="170" t="s">
        <v>570</v>
      </c>
      <c r="F23" s="170" t="s">
        <v>574</v>
      </c>
      <c r="G23" s="170" t="s">
        <v>575</v>
      </c>
      <c r="H23" s="171" t="s">
        <v>571</v>
      </c>
      <c r="I23" s="171" t="s">
        <v>572</v>
      </c>
      <c r="J23" s="171" t="s">
        <v>573</v>
      </c>
    </row>
    <row r="24" spans="1:14" x14ac:dyDescent="0.2">
      <c r="A24" s="172">
        <v>3</v>
      </c>
      <c r="B24" s="173">
        <v>0</v>
      </c>
      <c r="C24" s="174">
        <v>3</v>
      </c>
      <c r="D24" s="172">
        <v>0</v>
      </c>
      <c r="E24" s="173">
        <v>0</v>
      </c>
      <c r="F24" s="173">
        <v>0</v>
      </c>
      <c r="G24" s="173"/>
      <c r="H24" s="174">
        <v>0</v>
      </c>
      <c r="I24" s="174">
        <v>2</v>
      </c>
      <c r="J24" s="174">
        <v>1</v>
      </c>
    </row>
    <row r="25" spans="1:14" s="166" customFormat="1" x14ac:dyDescent="0.2">
      <c r="A25" s="205"/>
      <c r="B25" s="191"/>
      <c r="C25" s="401" t="s">
        <v>590</v>
      </c>
      <c r="D25" s="402"/>
      <c r="E25" s="402"/>
      <c r="F25" s="402"/>
      <c r="G25" s="402"/>
      <c r="H25" s="403"/>
      <c r="I25" s="192"/>
      <c r="J25" s="192"/>
      <c r="K25" s="194"/>
    </row>
    <row r="26" spans="1:14" s="166" customFormat="1" x14ac:dyDescent="0.2">
      <c r="A26" s="205"/>
      <c r="B26" s="193"/>
      <c r="C26" s="196" t="s">
        <v>585</v>
      </c>
      <c r="D26" s="196" t="s">
        <v>586</v>
      </c>
      <c r="E26" s="196" t="s">
        <v>587</v>
      </c>
      <c r="F26" s="196" t="s">
        <v>588</v>
      </c>
      <c r="G26" s="196" t="s">
        <v>589</v>
      </c>
      <c r="H26" s="196" t="s">
        <v>53</v>
      </c>
      <c r="I26" s="194"/>
      <c r="J26" s="194"/>
      <c r="K26" s="194"/>
    </row>
    <row r="27" spans="1:14" s="166" customFormat="1" x14ac:dyDescent="0.2">
      <c r="A27" s="205"/>
      <c r="B27" s="193"/>
      <c r="C27" s="197">
        <v>3</v>
      </c>
      <c r="D27" s="198">
        <v>0</v>
      </c>
      <c r="E27" s="200">
        <v>0</v>
      </c>
      <c r="F27" s="203">
        <v>0</v>
      </c>
      <c r="G27" s="204">
        <v>0</v>
      </c>
      <c r="H27" s="195">
        <v>0</v>
      </c>
      <c r="I27" s="194"/>
      <c r="J27" s="194"/>
      <c r="K27" s="194"/>
    </row>
    <row r="28" spans="1:14" s="166" customFormat="1" x14ac:dyDescent="0.2">
      <c r="A28" s="205"/>
      <c r="B28" s="193"/>
      <c r="C28" s="411" t="s">
        <v>591</v>
      </c>
      <c r="D28" s="411"/>
      <c r="E28" s="411"/>
      <c r="F28" s="411"/>
      <c r="G28" s="411"/>
      <c r="H28" s="411"/>
      <c r="I28" s="194"/>
      <c r="J28" s="194"/>
      <c r="K28" s="194"/>
    </row>
    <row r="29" spans="1:14" s="166" customFormat="1" x14ac:dyDescent="0.2">
      <c r="A29" s="205"/>
      <c r="B29" s="193"/>
      <c r="C29" s="196" t="s">
        <v>585</v>
      </c>
      <c r="D29" s="196" t="s">
        <v>586</v>
      </c>
      <c r="E29" s="196" t="s">
        <v>587</v>
      </c>
      <c r="F29" s="196" t="s">
        <v>588</v>
      </c>
      <c r="G29" s="196" t="s">
        <v>589</v>
      </c>
      <c r="H29" s="196" t="s">
        <v>53</v>
      </c>
      <c r="I29" s="194"/>
      <c r="J29" s="194"/>
      <c r="K29" s="194"/>
    </row>
    <row r="30" spans="1:14" s="166" customFormat="1" x14ac:dyDescent="0.2">
      <c r="A30" s="205"/>
      <c r="B30" s="193"/>
      <c r="C30" s="197">
        <v>1</v>
      </c>
      <c r="D30" s="198">
        <v>1</v>
      </c>
      <c r="E30" s="200">
        <v>0</v>
      </c>
      <c r="F30" s="203">
        <v>0</v>
      </c>
      <c r="G30" s="204">
        <v>1</v>
      </c>
      <c r="H30" s="195">
        <v>0</v>
      </c>
      <c r="I30" s="194"/>
      <c r="J30" s="194"/>
      <c r="K30" s="194"/>
    </row>
    <row r="31" spans="1:14" x14ac:dyDescent="0.2">
      <c r="A31" s="399"/>
      <c r="B31" s="399"/>
      <c r="C31" s="399"/>
      <c r="D31" s="399"/>
      <c r="E31" s="399"/>
      <c r="F31" s="399"/>
      <c r="G31" s="399"/>
      <c r="H31" s="399"/>
      <c r="I31" s="399"/>
      <c r="J31" s="399"/>
    </row>
    <row r="32" spans="1:14" ht="42" customHeight="1" x14ac:dyDescent="0.2">
      <c r="A32" s="395" t="s">
        <v>250</v>
      </c>
      <c r="B32" s="396"/>
      <c r="C32" s="396"/>
      <c r="D32" s="396"/>
      <c r="E32" s="396"/>
      <c r="F32" s="396"/>
      <c r="G32" s="396"/>
      <c r="H32" s="396"/>
      <c r="I32" s="396"/>
      <c r="J32" s="397"/>
      <c r="K32" s="207"/>
      <c r="L32" s="168"/>
      <c r="M32" s="168"/>
      <c r="N32" s="168"/>
    </row>
    <row r="33" spans="1:13" ht="30" customHeight="1" x14ac:dyDescent="0.2">
      <c r="A33" s="169" t="s">
        <v>569</v>
      </c>
      <c r="B33" s="170" t="s">
        <v>594</v>
      </c>
      <c r="C33" s="171" t="s">
        <v>595</v>
      </c>
      <c r="D33" s="169" t="s">
        <v>596</v>
      </c>
      <c r="E33" s="170" t="s">
        <v>570</v>
      </c>
      <c r="F33" s="170" t="s">
        <v>574</v>
      </c>
      <c r="G33" s="170" t="s">
        <v>575</v>
      </c>
      <c r="H33" s="171" t="s">
        <v>571</v>
      </c>
      <c r="I33" s="171" t="s">
        <v>572</v>
      </c>
      <c r="J33" s="171" t="s">
        <v>573</v>
      </c>
    </row>
    <row r="34" spans="1:13" x14ac:dyDescent="0.2">
      <c r="A34" s="172">
        <v>20</v>
      </c>
      <c r="B34" s="173">
        <v>6</v>
      </c>
      <c r="C34" s="174">
        <v>10</v>
      </c>
      <c r="D34" s="172">
        <v>4</v>
      </c>
      <c r="E34" s="173">
        <v>3</v>
      </c>
      <c r="F34" s="173">
        <v>2</v>
      </c>
      <c r="G34" s="173">
        <v>1</v>
      </c>
      <c r="H34" s="174">
        <v>3</v>
      </c>
      <c r="I34" s="174">
        <v>4</v>
      </c>
      <c r="J34" s="174">
        <v>3</v>
      </c>
    </row>
    <row r="35" spans="1:13" s="166" customFormat="1" x14ac:dyDescent="0.2">
      <c r="A35" s="205"/>
      <c r="B35" s="191"/>
      <c r="C35" s="401" t="s">
        <v>590</v>
      </c>
      <c r="D35" s="402"/>
      <c r="E35" s="402"/>
      <c r="F35" s="402"/>
      <c r="G35" s="402"/>
      <c r="H35" s="403"/>
      <c r="I35" s="192"/>
      <c r="J35" s="192"/>
      <c r="K35" s="194"/>
    </row>
    <row r="36" spans="1:13" s="166" customFormat="1" x14ac:dyDescent="0.2">
      <c r="A36" s="205"/>
      <c r="B36" s="193"/>
      <c r="C36" s="196" t="s">
        <v>585</v>
      </c>
      <c r="D36" s="196" t="s">
        <v>586</v>
      </c>
      <c r="E36" s="196" t="s">
        <v>587</v>
      </c>
      <c r="F36" s="196" t="s">
        <v>588</v>
      </c>
      <c r="G36" s="196" t="s">
        <v>589</v>
      </c>
      <c r="H36" s="196" t="s">
        <v>53</v>
      </c>
      <c r="I36" s="194"/>
      <c r="J36" s="194"/>
      <c r="K36" s="194"/>
    </row>
    <row r="37" spans="1:13" s="166" customFormat="1" x14ac:dyDescent="0.2">
      <c r="A37" s="205"/>
      <c r="B37" s="201"/>
      <c r="C37" s="197">
        <v>13</v>
      </c>
      <c r="D37" s="198">
        <v>6</v>
      </c>
      <c r="E37" s="200">
        <v>0</v>
      </c>
      <c r="F37" s="203">
        <v>0</v>
      </c>
      <c r="G37" s="204">
        <v>0</v>
      </c>
      <c r="H37" s="195">
        <v>1</v>
      </c>
      <c r="I37" s="202"/>
      <c r="J37" s="194"/>
      <c r="K37" s="194"/>
    </row>
    <row r="38" spans="1:13" s="166" customFormat="1" x14ac:dyDescent="0.2">
      <c r="A38" s="205"/>
      <c r="B38" s="193"/>
      <c r="C38" s="401" t="s">
        <v>591</v>
      </c>
      <c r="D38" s="402"/>
      <c r="E38" s="402"/>
      <c r="F38" s="402"/>
      <c r="G38" s="402"/>
      <c r="H38" s="403"/>
      <c r="I38" s="194"/>
      <c r="J38" s="194"/>
      <c r="K38" s="194"/>
    </row>
    <row r="39" spans="1:13" s="166" customFormat="1" x14ac:dyDescent="0.2">
      <c r="A39" s="205"/>
      <c r="B39" s="193"/>
      <c r="C39" s="196" t="s">
        <v>585</v>
      </c>
      <c r="D39" s="196" t="s">
        <v>586</v>
      </c>
      <c r="E39" s="196" t="s">
        <v>587</v>
      </c>
      <c r="F39" s="196" t="s">
        <v>588</v>
      </c>
      <c r="G39" s="196" t="s">
        <v>589</v>
      </c>
      <c r="H39" s="196" t="s">
        <v>53</v>
      </c>
      <c r="I39" s="194"/>
      <c r="J39" s="194"/>
      <c r="K39" s="194"/>
    </row>
    <row r="40" spans="1:13" s="166" customFormat="1" x14ac:dyDescent="0.2">
      <c r="A40" s="205"/>
      <c r="B40" s="201"/>
      <c r="C40" s="197">
        <v>2</v>
      </c>
      <c r="D40" s="198">
        <v>3</v>
      </c>
      <c r="E40" s="200">
        <v>0</v>
      </c>
      <c r="F40" s="203">
        <v>0</v>
      </c>
      <c r="G40" s="204">
        <v>14</v>
      </c>
      <c r="H40" s="195">
        <v>1</v>
      </c>
      <c r="I40" s="194"/>
      <c r="J40" s="194"/>
      <c r="K40" s="194"/>
    </row>
    <row r="41" spans="1:13" x14ac:dyDescent="0.2">
      <c r="A41" s="399"/>
      <c r="B41" s="399"/>
      <c r="C41" s="400"/>
      <c r="D41" s="400"/>
      <c r="E41" s="400"/>
      <c r="F41" s="400"/>
      <c r="G41" s="400"/>
      <c r="H41" s="399"/>
      <c r="I41" s="399"/>
      <c r="J41" s="399"/>
    </row>
    <row r="42" spans="1:13" ht="32.25" customHeight="1" x14ac:dyDescent="0.2">
      <c r="A42" s="394" t="s">
        <v>359</v>
      </c>
      <c r="B42" s="394"/>
      <c r="C42" s="394"/>
      <c r="D42" s="394"/>
      <c r="E42" s="394"/>
      <c r="F42" s="394"/>
      <c r="G42" s="394"/>
      <c r="H42" s="394"/>
      <c r="I42" s="394"/>
      <c r="J42" s="394"/>
      <c r="K42" s="207"/>
      <c r="L42" s="168"/>
      <c r="M42" s="168"/>
    </row>
    <row r="43" spans="1:13" ht="30" customHeight="1" x14ac:dyDescent="0.2">
      <c r="A43" s="169" t="s">
        <v>569</v>
      </c>
      <c r="B43" s="170" t="s">
        <v>594</v>
      </c>
      <c r="C43" s="171" t="s">
        <v>595</v>
      </c>
      <c r="D43" s="169" t="s">
        <v>596</v>
      </c>
      <c r="E43" s="170" t="s">
        <v>570</v>
      </c>
      <c r="F43" s="170" t="s">
        <v>574</v>
      </c>
      <c r="G43" s="170" t="s">
        <v>575</v>
      </c>
      <c r="H43" s="171" t="s">
        <v>571</v>
      </c>
      <c r="I43" s="171" t="s">
        <v>572</v>
      </c>
      <c r="J43" s="171" t="s">
        <v>573</v>
      </c>
    </row>
    <row r="44" spans="1:13" x14ac:dyDescent="0.2">
      <c r="A44" s="175">
        <v>9</v>
      </c>
      <c r="B44" s="176">
        <v>4</v>
      </c>
      <c r="C44" s="177">
        <v>5</v>
      </c>
      <c r="D44" s="175">
        <v>0</v>
      </c>
      <c r="E44" s="176">
        <v>4</v>
      </c>
      <c r="F44" s="176">
        <v>0</v>
      </c>
      <c r="G44" s="176">
        <v>0</v>
      </c>
      <c r="H44" s="177">
        <v>5</v>
      </c>
      <c r="I44" s="177">
        <v>0</v>
      </c>
      <c r="J44" s="177">
        <v>0</v>
      </c>
    </row>
    <row r="45" spans="1:13" s="166" customFormat="1" x14ac:dyDescent="0.2">
      <c r="A45" s="205"/>
      <c r="B45" s="191"/>
      <c r="C45" s="401" t="s">
        <v>590</v>
      </c>
      <c r="D45" s="402"/>
      <c r="E45" s="402"/>
      <c r="F45" s="402"/>
      <c r="G45" s="402"/>
      <c r="H45" s="403"/>
      <c r="I45" s="192"/>
      <c r="J45" s="192"/>
      <c r="K45" s="194"/>
    </row>
    <row r="46" spans="1:13" s="166" customFormat="1" x14ac:dyDescent="0.2">
      <c r="A46" s="205"/>
      <c r="B46" s="193"/>
      <c r="C46" s="196" t="s">
        <v>585</v>
      </c>
      <c r="D46" s="196" t="s">
        <v>586</v>
      </c>
      <c r="E46" s="196" t="s">
        <v>587</v>
      </c>
      <c r="F46" s="196" t="s">
        <v>588</v>
      </c>
      <c r="G46" s="196" t="s">
        <v>589</v>
      </c>
      <c r="H46" s="196" t="s">
        <v>53</v>
      </c>
      <c r="I46" s="194"/>
      <c r="J46" s="194"/>
      <c r="K46" s="194"/>
    </row>
    <row r="47" spans="1:13" s="166" customFormat="1" x14ac:dyDescent="0.2">
      <c r="A47" s="205"/>
      <c r="B47" s="201"/>
      <c r="C47" s="197">
        <v>9</v>
      </c>
      <c r="D47" s="198">
        <v>0</v>
      </c>
      <c r="E47" s="200">
        <v>0</v>
      </c>
      <c r="F47" s="203">
        <v>0</v>
      </c>
      <c r="G47" s="204">
        <v>0</v>
      </c>
      <c r="H47" s="195">
        <v>0</v>
      </c>
      <c r="I47" s="202"/>
      <c r="J47" s="194"/>
      <c r="K47" s="194"/>
    </row>
    <row r="48" spans="1:13" s="166" customFormat="1" x14ac:dyDescent="0.2">
      <c r="A48" s="205"/>
      <c r="B48" s="193"/>
      <c r="C48" s="401" t="s">
        <v>591</v>
      </c>
      <c r="D48" s="402"/>
      <c r="E48" s="402"/>
      <c r="F48" s="402"/>
      <c r="G48" s="402"/>
      <c r="H48" s="403"/>
      <c r="I48" s="194"/>
      <c r="J48" s="194"/>
      <c r="K48" s="194"/>
    </row>
    <row r="49" spans="1:13" s="166" customFormat="1" x14ac:dyDescent="0.2">
      <c r="A49" s="205"/>
      <c r="B49" s="193"/>
      <c r="C49" s="196" t="s">
        <v>585</v>
      </c>
      <c r="D49" s="196" t="s">
        <v>586</v>
      </c>
      <c r="E49" s="196" t="s">
        <v>587</v>
      </c>
      <c r="F49" s="196" t="s">
        <v>588</v>
      </c>
      <c r="G49" s="196" t="s">
        <v>589</v>
      </c>
      <c r="H49" s="196" t="s">
        <v>53</v>
      </c>
      <c r="I49" s="194"/>
      <c r="J49" s="194"/>
      <c r="K49" s="194"/>
    </row>
    <row r="50" spans="1:13" s="166" customFormat="1" x14ac:dyDescent="0.2">
      <c r="A50" s="205"/>
      <c r="B50" s="201"/>
      <c r="C50" s="197">
        <v>0</v>
      </c>
      <c r="D50" s="198">
        <v>9</v>
      </c>
      <c r="E50" s="200">
        <v>0</v>
      </c>
      <c r="F50" s="203">
        <v>0</v>
      </c>
      <c r="G50" s="204">
        <v>0</v>
      </c>
      <c r="H50" s="195">
        <v>0</v>
      </c>
      <c r="I50" s="194"/>
      <c r="J50" s="194"/>
      <c r="K50" s="194"/>
    </row>
    <row r="51" spans="1:13" x14ac:dyDescent="0.2">
      <c r="A51" s="399"/>
      <c r="B51" s="399"/>
      <c r="C51" s="400"/>
      <c r="D51" s="400"/>
      <c r="E51" s="400"/>
      <c r="F51" s="400"/>
      <c r="G51" s="400"/>
      <c r="H51" s="399"/>
      <c r="I51" s="399"/>
      <c r="J51" s="399"/>
    </row>
    <row r="52" spans="1:13" ht="17.25" customHeight="1" x14ac:dyDescent="0.2">
      <c r="A52" s="396" t="s">
        <v>389</v>
      </c>
      <c r="B52" s="396"/>
      <c r="C52" s="396"/>
      <c r="D52" s="396"/>
      <c r="E52" s="396"/>
      <c r="F52" s="396"/>
      <c r="G52" s="396"/>
      <c r="H52" s="396"/>
      <c r="I52" s="396"/>
      <c r="J52" s="396"/>
      <c r="K52" s="207"/>
      <c r="L52" s="168"/>
      <c r="M52" s="168"/>
    </row>
    <row r="53" spans="1:13" ht="30" customHeight="1" x14ac:dyDescent="0.2">
      <c r="A53" s="169" t="s">
        <v>569</v>
      </c>
      <c r="B53" s="170" t="s">
        <v>594</v>
      </c>
      <c r="C53" s="171" t="s">
        <v>595</v>
      </c>
      <c r="D53" s="169" t="s">
        <v>596</v>
      </c>
      <c r="E53" s="170" t="s">
        <v>570</v>
      </c>
      <c r="F53" s="170" t="s">
        <v>574</v>
      </c>
      <c r="G53" s="170" t="s">
        <v>575</v>
      </c>
      <c r="H53" s="171" t="s">
        <v>571</v>
      </c>
      <c r="I53" s="171" t="s">
        <v>572</v>
      </c>
      <c r="J53" s="171" t="s">
        <v>573</v>
      </c>
    </row>
    <row r="54" spans="1:13" x14ac:dyDescent="0.2">
      <c r="A54" s="175">
        <v>5</v>
      </c>
      <c r="B54" s="176">
        <v>3</v>
      </c>
      <c r="C54" s="177">
        <v>1</v>
      </c>
      <c r="D54" s="175">
        <v>1</v>
      </c>
      <c r="E54" s="176">
        <v>2</v>
      </c>
      <c r="F54" s="176">
        <v>0</v>
      </c>
      <c r="G54" s="176">
        <v>1</v>
      </c>
      <c r="H54" s="177">
        <v>1</v>
      </c>
      <c r="I54" s="177">
        <v>0</v>
      </c>
      <c r="J54" s="177">
        <v>0</v>
      </c>
    </row>
    <row r="55" spans="1:13" s="166" customFormat="1" x14ac:dyDescent="0.2">
      <c r="A55" s="205"/>
      <c r="B55" s="191"/>
      <c r="C55" s="401" t="s">
        <v>590</v>
      </c>
      <c r="D55" s="402"/>
      <c r="E55" s="402"/>
      <c r="F55" s="402"/>
      <c r="G55" s="402"/>
      <c r="H55" s="403"/>
      <c r="I55" s="192"/>
      <c r="J55" s="192"/>
      <c r="K55" s="194"/>
    </row>
    <row r="56" spans="1:13" s="166" customFormat="1" x14ac:dyDescent="0.2">
      <c r="A56" s="205"/>
      <c r="B56" s="193"/>
      <c r="C56" s="196" t="s">
        <v>585</v>
      </c>
      <c r="D56" s="196" t="s">
        <v>586</v>
      </c>
      <c r="E56" s="196" t="s">
        <v>587</v>
      </c>
      <c r="F56" s="196" t="s">
        <v>588</v>
      </c>
      <c r="G56" s="196" t="s">
        <v>589</v>
      </c>
      <c r="H56" s="196" t="s">
        <v>53</v>
      </c>
      <c r="I56" s="194"/>
      <c r="J56" s="194"/>
      <c r="K56" s="194"/>
    </row>
    <row r="57" spans="1:13" s="166" customFormat="1" x14ac:dyDescent="0.2">
      <c r="A57" s="205"/>
      <c r="B57" s="201"/>
      <c r="C57" s="197">
        <v>4</v>
      </c>
      <c r="D57" s="198">
        <v>0</v>
      </c>
      <c r="E57" s="200">
        <v>1</v>
      </c>
      <c r="F57" s="203">
        <v>0</v>
      </c>
      <c r="G57" s="204">
        <v>0</v>
      </c>
      <c r="H57" s="195">
        <v>0</v>
      </c>
      <c r="I57" s="202"/>
      <c r="J57" s="194"/>
      <c r="K57" s="194"/>
    </row>
    <row r="58" spans="1:13" s="166" customFormat="1" x14ac:dyDescent="0.2">
      <c r="A58" s="205"/>
      <c r="B58" s="193"/>
      <c r="C58" s="401" t="s">
        <v>591</v>
      </c>
      <c r="D58" s="402"/>
      <c r="E58" s="402"/>
      <c r="F58" s="402"/>
      <c r="G58" s="402"/>
      <c r="H58" s="403"/>
      <c r="I58" s="194"/>
      <c r="J58" s="194"/>
      <c r="K58" s="194"/>
    </row>
    <row r="59" spans="1:13" s="166" customFormat="1" x14ac:dyDescent="0.2">
      <c r="A59" s="205"/>
      <c r="B59" s="193"/>
      <c r="C59" s="196" t="s">
        <v>585</v>
      </c>
      <c r="D59" s="196" t="s">
        <v>586</v>
      </c>
      <c r="E59" s="196" t="s">
        <v>587</v>
      </c>
      <c r="F59" s="196" t="s">
        <v>588</v>
      </c>
      <c r="G59" s="196" t="s">
        <v>589</v>
      </c>
      <c r="H59" s="196" t="s">
        <v>53</v>
      </c>
      <c r="I59" s="194"/>
      <c r="J59" s="194"/>
      <c r="K59" s="194"/>
    </row>
    <row r="60" spans="1:13" s="166" customFormat="1" x14ac:dyDescent="0.2">
      <c r="A60" s="205"/>
      <c r="B60" s="201"/>
      <c r="C60" s="197">
        <v>1</v>
      </c>
      <c r="D60" s="198">
        <v>1</v>
      </c>
      <c r="E60" s="200">
        <v>2</v>
      </c>
      <c r="F60" s="203">
        <v>0</v>
      </c>
      <c r="G60" s="204">
        <v>1</v>
      </c>
      <c r="H60" s="195">
        <v>0</v>
      </c>
      <c r="I60" s="194"/>
      <c r="J60" s="194"/>
      <c r="K60" s="194"/>
    </row>
    <row r="61" spans="1:13" x14ac:dyDescent="0.2">
      <c r="A61" s="399"/>
      <c r="B61" s="399"/>
      <c r="C61" s="400"/>
      <c r="D61" s="400"/>
      <c r="E61" s="400"/>
      <c r="F61" s="400"/>
      <c r="G61" s="400"/>
      <c r="H61" s="399"/>
      <c r="I61" s="399"/>
      <c r="J61" s="399"/>
    </row>
    <row r="62" spans="1:13" ht="32.25" customHeight="1" x14ac:dyDescent="0.2">
      <c r="A62" s="394" t="s">
        <v>416</v>
      </c>
      <c r="B62" s="394"/>
      <c r="C62" s="394"/>
      <c r="D62" s="394"/>
      <c r="E62" s="394"/>
      <c r="F62" s="394"/>
      <c r="G62" s="394"/>
      <c r="H62" s="394"/>
      <c r="I62" s="394"/>
      <c r="J62" s="394"/>
    </row>
    <row r="63" spans="1:13" ht="30" customHeight="1" x14ac:dyDescent="0.2">
      <c r="A63" s="169" t="s">
        <v>569</v>
      </c>
      <c r="B63" s="170" t="s">
        <v>594</v>
      </c>
      <c r="C63" s="171" t="s">
        <v>595</v>
      </c>
      <c r="D63" s="169" t="s">
        <v>596</v>
      </c>
      <c r="E63" s="170" t="s">
        <v>570</v>
      </c>
      <c r="F63" s="170" t="s">
        <v>574</v>
      </c>
      <c r="G63" s="170" t="s">
        <v>575</v>
      </c>
      <c r="H63" s="171" t="s">
        <v>571</v>
      </c>
      <c r="I63" s="171" t="s">
        <v>572</v>
      </c>
      <c r="J63" s="171" t="s">
        <v>573</v>
      </c>
    </row>
    <row r="64" spans="1:13" x14ac:dyDescent="0.2">
      <c r="A64" s="175">
        <v>10</v>
      </c>
      <c r="B64" s="176">
        <v>5</v>
      </c>
      <c r="C64" s="177">
        <v>4</v>
      </c>
      <c r="D64" s="175">
        <v>1</v>
      </c>
      <c r="E64" s="176">
        <v>1</v>
      </c>
      <c r="F64" s="176">
        <v>3</v>
      </c>
      <c r="G64" s="176">
        <v>1</v>
      </c>
      <c r="H64" s="177">
        <v>0</v>
      </c>
      <c r="I64" s="177">
        <v>4</v>
      </c>
      <c r="J64" s="177">
        <v>0</v>
      </c>
    </row>
    <row r="65" spans="1:11" s="166" customFormat="1" x14ac:dyDescent="0.2">
      <c r="A65" s="205"/>
      <c r="B65" s="191"/>
      <c r="C65" s="401" t="s">
        <v>590</v>
      </c>
      <c r="D65" s="402"/>
      <c r="E65" s="402"/>
      <c r="F65" s="402"/>
      <c r="G65" s="402"/>
      <c r="H65" s="403"/>
      <c r="I65" s="192"/>
      <c r="J65" s="192"/>
      <c r="K65" s="194"/>
    </row>
    <row r="66" spans="1:11" s="166" customFormat="1" x14ac:dyDescent="0.2">
      <c r="A66" s="205"/>
      <c r="B66" s="193"/>
      <c r="C66" s="196" t="s">
        <v>585</v>
      </c>
      <c r="D66" s="196" t="s">
        <v>586</v>
      </c>
      <c r="E66" s="196" t="s">
        <v>587</v>
      </c>
      <c r="F66" s="196" t="s">
        <v>588</v>
      </c>
      <c r="G66" s="196" t="s">
        <v>589</v>
      </c>
      <c r="H66" s="196" t="s">
        <v>53</v>
      </c>
      <c r="I66" s="194"/>
      <c r="J66" s="194"/>
      <c r="K66" s="194"/>
    </row>
    <row r="67" spans="1:11" s="166" customFormat="1" x14ac:dyDescent="0.2">
      <c r="A67" s="205"/>
      <c r="B67" s="201"/>
      <c r="C67" s="197">
        <v>3</v>
      </c>
      <c r="D67" s="198">
        <v>2</v>
      </c>
      <c r="E67" s="200">
        <v>2</v>
      </c>
      <c r="F67" s="203">
        <v>0</v>
      </c>
      <c r="G67" s="204">
        <v>0</v>
      </c>
      <c r="H67" s="195">
        <v>3</v>
      </c>
      <c r="I67" s="202"/>
      <c r="J67" s="194"/>
      <c r="K67" s="194"/>
    </row>
    <row r="68" spans="1:11" s="166" customFormat="1" x14ac:dyDescent="0.2">
      <c r="A68" s="205"/>
      <c r="B68" s="193"/>
      <c r="C68" s="401" t="s">
        <v>591</v>
      </c>
      <c r="D68" s="402"/>
      <c r="E68" s="402"/>
      <c r="F68" s="402"/>
      <c r="G68" s="402"/>
      <c r="H68" s="403"/>
      <c r="I68" s="194"/>
      <c r="J68" s="194"/>
      <c r="K68" s="194"/>
    </row>
    <row r="69" spans="1:11" s="166" customFormat="1" x14ac:dyDescent="0.2">
      <c r="A69" s="205"/>
      <c r="B69" s="193"/>
      <c r="C69" s="196" t="s">
        <v>585</v>
      </c>
      <c r="D69" s="196" t="s">
        <v>586</v>
      </c>
      <c r="E69" s="196" t="s">
        <v>587</v>
      </c>
      <c r="F69" s="196" t="s">
        <v>588</v>
      </c>
      <c r="G69" s="196" t="s">
        <v>589</v>
      </c>
      <c r="H69" s="196" t="s">
        <v>53</v>
      </c>
      <c r="I69" s="194"/>
      <c r="J69" s="194"/>
      <c r="K69" s="194"/>
    </row>
    <row r="70" spans="1:11" s="166" customFormat="1" x14ac:dyDescent="0.2">
      <c r="A70" s="205"/>
      <c r="B70" s="201"/>
      <c r="C70" s="197">
        <v>0</v>
      </c>
      <c r="D70" s="198">
        <v>4</v>
      </c>
      <c r="E70" s="200">
        <v>1</v>
      </c>
      <c r="F70" s="203">
        <v>0</v>
      </c>
      <c r="G70" s="204">
        <v>2</v>
      </c>
      <c r="H70" s="195">
        <v>3</v>
      </c>
      <c r="I70" s="194"/>
      <c r="J70" s="194"/>
      <c r="K70" s="194"/>
    </row>
    <row r="71" spans="1:11" x14ac:dyDescent="0.2">
      <c r="A71" s="399"/>
      <c r="B71" s="399"/>
      <c r="C71" s="400"/>
      <c r="D71" s="400"/>
      <c r="E71" s="400"/>
      <c r="F71" s="400"/>
      <c r="G71" s="400"/>
      <c r="H71" s="399"/>
      <c r="I71" s="399"/>
      <c r="J71" s="399"/>
    </row>
    <row r="72" spans="1:11" ht="18" x14ac:dyDescent="0.2">
      <c r="A72" s="396" t="s">
        <v>451</v>
      </c>
      <c r="B72" s="396"/>
      <c r="C72" s="396"/>
      <c r="D72" s="396"/>
      <c r="E72" s="396"/>
      <c r="F72" s="396"/>
      <c r="G72" s="396"/>
      <c r="H72" s="396"/>
      <c r="I72" s="396"/>
      <c r="J72" s="396"/>
    </row>
    <row r="73" spans="1:11" ht="30" customHeight="1" x14ac:dyDescent="0.2">
      <c r="A73" s="169" t="s">
        <v>569</v>
      </c>
      <c r="B73" s="170" t="s">
        <v>594</v>
      </c>
      <c r="C73" s="171" t="s">
        <v>595</v>
      </c>
      <c r="D73" s="169" t="s">
        <v>596</v>
      </c>
      <c r="E73" s="170" t="s">
        <v>570</v>
      </c>
      <c r="F73" s="170" t="s">
        <v>574</v>
      </c>
      <c r="G73" s="170" t="s">
        <v>575</v>
      </c>
      <c r="H73" s="171" t="s">
        <v>571</v>
      </c>
      <c r="I73" s="171" t="s">
        <v>572</v>
      </c>
      <c r="J73" s="171" t="s">
        <v>573</v>
      </c>
    </row>
    <row r="74" spans="1:11" x14ac:dyDescent="0.2">
      <c r="A74" s="175">
        <v>5</v>
      </c>
      <c r="B74" s="176">
        <v>3</v>
      </c>
      <c r="C74" s="177">
        <v>2</v>
      </c>
      <c r="D74" s="175">
        <v>0</v>
      </c>
      <c r="E74" s="176">
        <v>2</v>
      </c>
      <c r="F74" s="176">
        <v>1</v>
      </c>
      <c r="G74" s="176">
        <v>0</v>
      </c>
      <c r="H74" s="177">
        <v>0</v>
      </c>
      <c r="I74" s="177">
        <v>1</v>
      </c>
      <c r="J74" s="177">
        <v>1</v>
      </c>
    </row>
    <row r="75" spans="1:11" s="166" customFormat="1" x14ac:dyDescent="0.2">
      <c r="A75" s="205"/>
      <c r="B75" s="191"/>
      <c r="C75" s="401" t="s">
        <v>590</v>
      </c>
      <c r="D75" s="402"/>
      <c r="E75" s="402"/>
      <c r="F75" s="402"/>
      <c r="G75" s="402"/>
      <c r="H75" s="403"/>
      <c r="I75" s="192"/>
      <c r="J75" s="192"/>
      <c r="K75" s="194"/>
    </row>
    <row r="76" spans="1:11" s="166" customFormat="1" x14ac:dyDescent="0.2">
      <c r="A76" s="205"/>
      <c r="B76" s="193"/>
      <c r="C76" s="196" t="s">
        <v>585</v>
      </c>
      <c r="D76" s="196" t="s">
        <v>586</v>
      </c>
      <c r="E76" s="196" t="s">
        <v>587</v>
      </c>
      <c r="F76" s="196" t="s">
        <v>588</v>
      </c>
      <c r="G76" s="196" t="s">
        <v>589</v>
      </c>
      <c r="H76" s="196" t="s">
        <v>53</v>
      </c>
      <c r="I76" s="194"/>
      <c r="J76" s="194"/>
      <c r="K76" s="194"/>
    </row>
    <row r="77" spans="1:11" s="166" customFormat="1" x14ac:dyDescent="0.2">
      <c r="A77" s="205"/>
      <c r="B77" s="201"/>
      <c r="C77" s="197">
        <v>0</v>
      </c>
      <c r="D77" s="198">
        <v>0</v>
      </c>
      <c r="E77" s="200">
        <v>0</v>
      </c>
      <c r="F77" s="203">
        <v>5</v>
      </c>
      <c r="G77" s="204">
        <v>0</v>
      </c>
      <c r="H77" s="195">
        <v>0</v>
      </c>
      <c r="I77" s="202"/>
      <c r="J77" s="194"/>
      <c r="K77" s="194"/>
    </row>
    <row r="78" spans="1:11" s="166" customFormat="1" x14ac:dyDescent="0.2">
      <c r="A78" s="205"/>
      <c r="B78" s="193"/>
      <c r="C78" s="401" t="s">
        <v>591</v>
      </c>
      <c r="D78" s="402"/>
      <c r="E78" s="402"/>
      <c r="F78" s="402"/>
      <c r="G78" s="402"/>
      <c r="H78" s="403"/>
      <c r="I78" s="194"/>
      <c r="J78" s="194"/>
      <c r="K78" s="194"/>
    </row>
    <row r="79" spans="1:11" s="166" customFormat="1" x14ac:dyDescent="0.2">
      <c r="A79" s="205"/>
      <c r="B79" s="193"/>
      <c r="C79" s="196" t="s">
        <v>585</v>
      </c>
      <c r="D79" s="196" t="s">
        <v>586</v>
      </c>
      <c r="E79" s="196" t="s">
        <v>587</v>
      </c>
      <c r="F79" s="196" t="s">
        <v>588</v>
      </c>
      <c r="G79" s="196" t="s">
        <v>589</v>
      </c>
      <c r="H79" s="196" t="s">
        <v>53</v>
      </c>
      <c r="I79" s="194"/>
      <c r="J79" s="194"/>
      <c r="K79" s="194"/>
    </row>
    <row r="80" spans="1:11" s="166" customFormat="1" x14ac:dyDescent="0.2">
      <c r="A80" s="205"/>
      <c r="B80" s="201"/>
      <c r="C80" s="197">
        <v>0</v>
      </c>
      <c r="D80" s="198">
        <v>0</v>
      </c>
      <c r="E80" s="200">
        <v>0</v>
      </c>
      <c r="F80" s="203">
        <v>5</v>
      </c>
      <c r="G80" s="204">
        <v>0</v>
      </c>
      <c r="H80" s="195">
        <v>0</v>
      </c>
      <c r="I80" s="194"/>
      <c r="J80" s="194"/>
      <c r="K80" s="194"/>
    </row>
    <row r="81" spans="1:11" x14ac:dyDescent="0.2">
      <c r="A81" s="399"/>
      <c r="B81" s="399"/>
      <c r="C81" s="400"/>
      <c r="D81" s="400"/>
      <c r="E81" s="400"/>
      <c r="F81" s="400"/>
      <c r="G81" s="400"/>
      <c r="H81" s="399"/>
      <c r="I81" s="399"/>
      <c r="J81" s="399"/>
    </row>
    <row r="82" spans="1:11" ht="34.5" customHeight="1" x14ac:dyDescent="0.2">
      <c r="A82" s="396" t="s">
        <v>477</v>
      </c>
      <c r="B82" s="396"/>
      <c r="C82" s="396"/>
      <c r="D82" s="396"/>
      <c r="E82" s="396"/>
      <c r="F82" s="396"/>
      <c r="G82" s="396"/>
      <c r="H82" s="396"/>
      <c r="I82" s="396"/>
      <c r="J82" s="396"/>
    </row>
    <row r="83" spans="1:11" ht="30" customHeight="1" x14ac:dyDescent="0.2">
      <c r="A83" s="169" t="s">
        <v>569</v>
      </c>
      <c r="B83" s="170" t="s">
        <v>594</v>
      </c>
      <c r="C83" s="171" t="s">
        <v>595</v>
      </c>
      <c r="D83" s="169" t="s">
        <v>596</v>
      </c>
      <c r="E83" s="170" t="s">
        <v>570</v>
      </c>
      <c r="F83" s="170" t="s">
        <v>574</v>
      </c>
      <c r="G83" s="170" t="s">
        <v>575</v>
      </c>
      <c r="H83" s="171" t="s">
        <v>571</v>
      </c>
      <c r="I83" s="171" t="s">
        <v>572</v>
      </c>
      <c r="J83" s="171" t="s">
        <v>573</v>
      </c>
    </row>
    <row r="84" spans="1:11" x14ac:dyDescent="0.2">
      <c r="A84" s="175">
        <v>3</v>
      </c>
      <c r="B84" s="176">
        <v>1</v>
      </c>
      <c r="C84" s="177">
        <v>1</v>
      </c>
      <c r="D84" s="175">
        <v>1</v>
      </c>
      <c r="E84" s="176">
        <v>0</v>
      </c>
      <c r="F84" s="176">
        <v>0</v>
      </c>
      <c r="G84" s="176">
        <v>1</v>
      </c>
      <c r="H84" s="177">
        <v>1</v>
      </c>
      <c r="I84" s="177">
        <v>0</v>
      </c>
      <c r="J84" s="177">
        <v>0</v>
      </c>
    </row>
    <row r="85" spans="1:11" s="166" customFormat="1" x14ac:dyDescent="0.2">
      <c r="A85" s="205"/>
      <c r="B85" s="191"/>
      <c r="C85" s="401" t="s">
        <v>590</v>
      </c>
      <c r="D85" s="402"/>
      <c r="E85" s="402"/>
      <c r="F85" s="402"/>
      <c r="G85" s="402"/>
      <c r="H85" s="403"/>
      <c r="I85" s="192"/>
      <c r="J85" s="192"/>
      <c r="K85" s="194"/>
    </row>
    <row r="86" spans="1:11" s="166" customFormat="1" x14ac:dyDescent="0.2">
      <c r="A86" s="205"/>
      <c r="B86" s="193"/>
      <c r="C86" s="196" t="s">
        <v>585</v>
      </c>
      <c r="D86" s="196" t="s">
        <v>586</v>
      </c>
      <c r="E86" s="196" t="s">
        <v>587</v>
      </c>
      <c r="F86" s="196" t="s">
        <v>588</v>
      </c>
      <c r="G86" s="196" t="s">
        <v>589</v>
      </c>
      <c r="H86" s="196" t="s">
        <v>53</v>
      </c>
      <c r="I86" s="194"/>
      <c r="J86" s="194"/>
      <c r="K86" s="194"/>
    </row>
    <row r="87" spans="1:11" s="166" customFormat="1" x14ac:dyDescent="0.2">
      <c r="A87" s="205"/>
      <c r="B87" s="201"/>
      <c r="C87" s="197">
        <v>0</v>
      </c>
      <c r="D87" s="198">
        <v>0</v>
      </c>
      <c r="E87" s="200">
        <v>0</v>
      </c>
      <c r="F87" s="203">
        <v>0</v>
      </c>
      <c r="G87" s="204">
        <v>3</v>
      </c>
      <c r="H87" s="195">
        <v>0</v>
      </c>
      <c r="I87" s="202"/>
      <c r="J87" s="194"/>
      <c r="K87" s="194"/>
    </row>
    <row r="88" spans="1:11" s="166" customFormat="1" x14ac:dyDescent="0.2">
      <c r="A88" s="205"/>
      <c r="B88" s="193"/>
      <c r="C88" s="401" t="s">
        <v>591</v>
      </c>
      <c r="D88" s="402"/>
      <c r="E88" s="402"/>
      <c r="F88" s="402"/>
      <c r="G88" s="402"/>
      <c r="H88" s="403"/>
      <c r="I88" s="194"/>
      <c r="J88" s="194"/>
      <c r="K88" s="194"/>
    </row>
    <row r="89" spans="1:11" s="166" customFormat="1" x14ac:dyDescent="0.2">
      <c r="A89" s="205"/>
      <c r="B89" s="193"/>
      <c r="C89" s="196" t="s">
        <v>585</v>
      </c>
      <c r="D89" s="196" t="s">
        <v>586</v>
      </c>
      <c r="E89" s="196" t="s">
        <v>587</v>
      </c>
      <c r="F89" s="196" t="s">
        <v>588</v>
      </c>
      <c r="G89" s="196" t="s">
        <v>589</v>
      </c>
      <c r="H89" s="196" t="s">
        <v>53</v>
      </c>
      <c r="I89" s="194"/>
      <c r="J89" s="194"/>
      <c r="K89" s="194"/>
    </row>
    <row r="90" spans="1:11" s="166" customFormat="1" x14ac:dyDescent="0.2">
      <c r="A90" s="205"/>
      <c r="B90" s="201"/>
      <c r="C90" s="197">
        <v>0</v>
      </c>
      <c r="D90" s="198">
        <v>0</v>
      </c>
      <c r="E90" s="200">
        <v>0</v>
      </c>
      <c r="F90" s="203">
        <v>0</v>
      </c>
      <c r="G90" s="204">
        <v>3</v>
      </c>
      <c r="H90" s="195">
        <v>0</v>
      </c>
      <c r="I90" s="194"/>
      <c r="J90" s="194"/>
      <c r="K90" s="194"/>
    </row>
    <row r="91" spans="1:11" x14ac:dyDescent="0.2">
      <c r="A91" s="399"/>
      <c r="B91" s="399"/>
      <c r="C91" s="400"/>
      <c r="D91" s="400"/>
      <c r="E91" s="400"/>
      <c r="F91" s="400"/>
      <c r="G91" s="400"/>
      <c r="H91" s="399"/>
      <c r="I91" s="399"/>
      <c r="J91" s="399"/>
    </row>
    <row r="92" spans="1:11" ht="33.75" customHeight="1" x14ac:dyDescent="0.2">
      <c r="A92" s="396" t="s">
        <v>489</v>
      </c>
      <c r="B92" s="396"/>
      <c r="C92" s="396"/>
      <c r="D92" s="396"/>
      <c r="E92" s="396"/>
      <c r="F92" s="396"/>
      <c r="G92" s="396"/>
      <c r="H92" s="396"/>
      <c r="I92" s="396"/>
      <c r="J92" s="396"/>
    </row>
    <row r="93" spans="1:11" ht="30" customHeight="1" x14ac:dyDescent="0.2">
      <c r="A93" s="169" t="s">
        <v>569</v>
      </c>
      <c r="B93" s="170" t="s">
        <v>594</v>
      </c>
      <c r="C93" s="171" t="s">
        <v>595</v>
      </c>
      <c r="D93" s="169" t="s">
        <v>596</v>
      </c>
      <c r="E93" s="170" t="s">
        <v>570</v>
      </c>
      <c r="F93" s="170" t="s">
        <v>574</v>
      </c>
      <c r="G93" s="170" t="s">
        <v>575</v>
      </c>
      <c r="H93" s="171" t="s">
        <v>571</v>
      </c>
      <c r="I93" s="171" t="s">
        <v>572</v>
      </c>
      <c r="J93" s="171" t="s">
        <v>573</v>
      </c>
    </row>
    <row r="94" spans="1:11" x14ac:dyDescent="0.2">
      <c r="A94" s="175">
        <v>6</v>
      </c>
      <c r="B94" s="176">
        <v>2</v>
      </c>
      <c r="C94" s="177">
        <v>2</v>
      </c>
      <c r="D94" s="175">
        <v>2</v>
      </c>
      <c r="E94" s="176">
        <v>1</v>
      </c>
      <c r="F94" s="176">
        <v>1</v>
      </c>
      <c r="G94" s="176">
        <v>0</v>
      </c>
      <c r="H94" s="177">
        <v>0</v>
      </c>
      <c r="I94" s="177">
        <v>2</v>
      </c>
      <c r="J94" s="177">
        <v>0</v>
      </c>
    </row>
    <row r="95" spans="1:11" s="166" customFormat="1" x14ac:dyDescent="0.2">
      <c r="A95" s="205"/>
      <c r="B95" s="191"/>
      <c r="C95" s="401" t="s">
        <v>590</v>
      </c>
      <c r="D95" s="402"/>
      <c r="E95" s="402"/>
      <c r="F95" s="402"/>
      <c r="G95" s="402"/>
      <c r="H95" s="403"/>
      <c r="I95" s="192"/>
      <c r="J95" s="192"/>
      <c r="K95" s="194"/>
    </row>
    <row r="96" spans="1:11" s="166" customFormat="1" x14ac:dyDescent="0.2">
      <c r="A96" s="205"/>
      <c r="B96" s="193"/>
      <c r="C96" s="196" t="s">
        <v>585</v>
      </c>
      <c r="D96" s="196" t="s">
        <v>586</v>
      </c>
      <c r="E96" s="196" t="s">
        <v>587</v>
      </c>
      <c r="F96" s="196" t="s">
        <v>588</v>
      </c>
      <c r="G96" s="196" t="s">
        <v>589</v>
      </c>
      <c r="H96" s="196" t="s">
        <v>53</v>
      </c>
      <c r="I96" s="194"/>
      <c r="J96" s="194"/>
      <c r="K96" s="194"/>
    </row>
    <row r="97" spans="1:11" s="166" customFormat="1" x14ac:dyDescent="0.2">
      <c r="A97" s="205"/>
      <c r="B97" s="201"/>
      <c r="C97" s="197">
        <v>6</v>
      </c>
      <c r="D97" s="198">
        <v>0</v>
      </c>
      <c r="E97" s="200">
        <v>0</v>
      </c>
      <c r="F97" s="203">
        <v>0</v>
      </c>
      <c r="G97" s="204">
        <v>0</v>
      </c>
      <c r="H97" s="195">
        <v>0</v>
      </c>
      <c r="I97" s="202"/>
      <c r="J97" s="194"/>
      <c r="K97" s="194"/>
    </row>
    <row r="98" spans="1:11" s="166" customFormat="1" x14ac:dyDescent="0.2">
      <c r="A98" s="205"/>
      <c r="B98" s="193"/>
      <c r="C98" s="401" t="s">
        <v>591</v>
      </c>
      <c r="D98" s="402"/>
      <c r="E98" s="402"/>
      <c r="F98" s="402"/>
      <c r="G98" s="402"/>
      <c r="H98" s="403"/>
      <c r="I98" s="194"/>
      <c r="J98" s="194"/>
      <c r="K98" s="194"/>
    </row>
    <row r="99" spans="1:11" s="166" customFormat="1" x14ac:dyDescent="0.2">
      <c r="A99" s="205"/>
      <c r="B99" s="193"/>
      <c r="C99" s="196" t="s">
        <v>585</v>
      </c>
      <c r="D99" s="196" t="s">
        <v>586</v>
      </c>
      <c r="E99" s="196" t="s">
        <v>587</v>
      </c>
      <c r="F99" s="196" t="s">
        <v>588</v>
      </c>
      <c r="G99" s="196" t="s">
        <v>589</v>
      </c>
      <c r="H99" s="196" t="s">
        <v>53</v>
      </c>
      <c r="I99" s="194"/>
      <c r="J99" s="194"/>
      <c r="K99" s="194"/>
    </row>
    <row r="100" spans="1:11" s="166" customFormat="1" x14ac:dyDescent="0.2">
      <c r="A100" s="205"/>
      <c r="B100" s="201"/>
      <c r="C100" s="197">
        <v>0</v>
      </c>
      <c r="D100" s="198">
        <v>5</v>
      </c>
      <c r="E100" s="200">
        <v>0</v>
      </c>
      <c r="F100" s="203">
        <v>0</v>
      </c>
      <c r="G100" s="204">
        <v>1</v>
      </c>
      <c r="H100" s="195">
        <v>0</v>
      </c>
      <c r="I100" s="194"/>
      <c r="J100" s="194"/>
      <c r="K100" s="194"/>
    </row>
    <row r="101" spans="1:11" x14ac:dyDescent="0.2">
      <c r="A101" s="399"/>
      <c r="B101" s="399"/>
      <c r="C101" s="400"/>
      <c r="D101" s="400"/>
      <c r="E101" s="400"/>
      <c r="F101" s="400"/>
      <c r="G101" s="400"/>
      <c r="H101" s="399"/>
      <c r="I101" s="399"/>
      <c r="J101" s="399"/>
    </row>
    <row r="102" spans="1:11" ht="18" x14ac:dyDescent="0.2">
      <c r="A102" s="396" t="s">
        <v>506</v>
      </c>
      <c r="B102" s="396"/>
      <c r="C102" s="396"/>
      <c r="D102" s="396"/>
      <c r="E102" s="396"/>
      <c r="F102" s="396"/>
      <c r="G102" s="396"/>
      <c r="H102" s="396"/>
      <c r="I102" s="396"/>
      <c r="J102" s="396"/>
    </row>
    <row r="103" spans="1:11" ht="30" customHeight="1" x14ac:dyDescent="0.2">
      <c r="A103" s="169" t="s">
        <v>569</v>
      </c>
      <c r="B103" s="170" t="s">
        <v>594</v>
      </c>
      <c r="C103" s="171" t="s">
        <v>595</v>
      </c>
      <c r="D103" s="169" t="s">
        <v>596</v>
      </c>
      <c r="E103" s="170" t="s">
        <v>570</v>
      </c>
      <c r="F103" s="170" t="s">
        <v>574</v>
      </c>
      <c r="G103" s="170" t="s">
        <v>575</v>
      </c>
      <c r="H103" s="171" t="s">
        <v>571</v>
      </c>
      <c r="I103" s="171" t="s">
        <v>572</v>
      </c>
      <c r="J103" s="171" t="s">
        <v>573</v>
      </c>
    </row>
    <row r="104" spans="1:11" x14ac:dyDescent="0.2">
      <c r="A104" s="175">
        <v>3</v>
      </c>
      <c r="B104" s="176">
        <v>1</v>
      </c>
      <c r="C104" s="177">
        <v>2</v>
      </c>
      <c r="D104" s="175">
        <v>0</v>
      </c>
      <c r="E104" s="176">
        <v>1</v>
      </c>
      <c r="F104" s="176">
        <v>0</v>
      </c>
      <c r="G104" s="176">
        <v>0</v>
      </c>
      <c r="H104" s="177">
        <v>1</v>
      </c>
      <c r="I104" s="177">
        <v>1</v>
      </c>
      <c r="J104" s="177">
        <v>0</v>
      </c>
    </row>
    <row r="105" spans="1:11" s="166" customFormat="1" x14ac:dyDescent="0.2">
      <c r="A105" s="205"/>
      <c r="B105" s="191"/>
      <c r="C105" s="401" t="s">
        <v>590</v>
      </c>
      <c r="D105" s="402"/>
      <c r="E105" s="402"/>
      <c r="F105" s="402"/>
      <c r="G105" s="402"/>
      <c r="H105" s="403"/>
      <c r="I105" s="192"/>
      <c r="J105" s="192"/>
      <c r="K105" s="194"/>
    </row>
    <row r="106" spans="1:11" s="166" customFormat="1" x14ac:dyDescent="0.2">
      <c r="A106" s="205"/>
      <c r="B106" s="193"/>
      <c r="C106" s="196" t="s">
        <v>585</v>
      </c>
      <c r="D106" s="196" t="s">
        <v>586</v>
      </c>
      <c r="E106" s="196" t="s">
        <v>587</v>
      </c>
      <c r="F106" s="196" t="s">
        <v>588</v>
      </c>
      <c r="G106" s="196" t="s">
        <v>589</v>
      </c>
      <c r="H106" s="196" t="s">
        <v>53</v>
      </c>
      <c r="I106" s="194"/>
      <c r="J106" s="194"/>
      <c r="K106" s="194"/>
    </row>
    <row r="107" spans="1:11" s="166" customFormat="1" x14ac:dyDescent="0.2">
      <c r="A107" s="205"/>
      <c r="B107" s="201"/>
      <c r="C107" s="197">
        <v>0</v>
      </c>
      <c r="D107" s="198">
        <v>0</v>
      </c>
      <c r="E107" s="200">
        <v>3</v>
      </c>
      <c r="F107" s="203">
        <v>0</v>
      </c>
      <c r="G107" s="204">
        <v>0</v>
      </c>
      <c r="H107" s="195">
        <v>0</v>
      </c>
      <c r="I107" s="202"/>
      <c r="J107" s="194"/>
      <c r="K107" s="194"/>
    </row>
    <row r="108" spans="1:11" s="166" customFormat="1" x14ac:dyDescent="0.2">
      <c r="A108" s="205"/>
      <c r="B108" s="193"/>
      <c r="C108" s="401" t="s">
        <v>591</v>
      </c>
      <c r="D108" s="402"/>
      <c r="E108" s="402"/>
      <c r="F108" s="402"/>
      <c r="G108" s="402"/>
      <c r="H108" s="403"/>
      <c r="I108" s="194"/>
      <c r="J108" s="194"/>
      <c r="K108" s="194"/>
    </row>
    <row r="109" spans="1:11" s="166" customFormat="1" x14ac:dyDescent="0.2">
      <c r="A109" s="205"/>
      <c r="B109" s="193"/>
      <c r="C109" s="196" t="s">
        <v>585</v>
      </c>
      <c r="D109" s="196" t="s">
        <v>586</v>
      </c>
      <c r="E109" s="196" t="s">
        <v>587</v>
      </c>
      <c r="F109" s="196" t="s">
        <v>588</v>
      </c>
      <c r="G109" s="196" t="s">
        <v>589</v>
      </c>
      <c r="H109" s="196" t="s">
        <v>53</v>
      </c>
      <c r="I109" s="194"/>
      <c r="J109" s="194"/>
      <c r="K109" s="194"/>
    </row>
    <row r="110" spans="1:11" s="166" customFormat="1" x14ac:dyDescent="0.2">
      <c r="A110" s="205"/>
      <c r="B110" s="201"/>
      <c r="C110" s="197">
        <v>0</v>
      </c>
      <c r="D110" s="198">
        <v>3</v>
      </c>
      <c r="E110" s="200">
        <v>0</v>
      </c>
      <c r="F110" s="203">
        <v>0</v>
      </c>
      <c r="G110" s="204"/>
      <c r="H110" s="195">
        <v>0</v>
      </c>
      <c r="I110" s="194"/>
      <c r="J110" s="194"/>
      <c r="K110" s="194"/>
    </row>
    <row r="111" spans="1:11" x14ac:dyDescent="0.2">
      <c r="A111" s="399"/>
      <c r="B111" s="399"/>
      <c r="C111" s="400"/>
      <c r="D111" s="400"/>
      <c r="E111" s="400"/>
      <c r="F111" s="400"/>
      <c r="G111" s="400"/>
      <c r="H111" s="399"/>
      <c r="I111" s="399"/>
      <c r="J111" s="399"/>
    </row>
    <row r="112" spans="1:11" ht="18" x14ac:dyDescent="0.2">
      <c r="A112" s="396" t="s">
        <v>522</v>
      </c>
      <c r="B112" s="396"/>
      <c r="C112" s="396"/>
      <c r="D112" s="396"/>
      <c r="E112" s="396"/>
      <c r="F112" s="396"/>
      <c r="G112" s="396"/>
      <c r="H112" s="396"/>
      <c r="I112" s="396"/>
      <c r="J112" s="396"/>
    </row>
    <row r="113" spans="1:11" ht="30" customHeight="1" x14ac:dyDescent="0.2">
      <c r="A113" s="169" t="s">
        <v>569</v>
      </c>
      <c r="B113" s="170" t="s">
        <v>594</v>
      </c>
      <c r="C113" s="171" t="s">
        <v>595</v>
      </c>
      <c r="D113" s="169" t="s">
        <v>596</v>
      </c>
      <c r="E113" s="170" t="s">
        <v>570</v>
      </c>
      <c r="F113" s="170" t="s">
        <v>574</v>
      </c>
      <c r="G113" s="170" t="s">
        <v>575</v>
      </c>
      <c r="H113" s="171" t="s">
        <v>571</v>
      </c>
      <c r="I113" s="171" t="s">
        <v>572</v>
      </c>
      <c r="J113" s="171" t="s">
        <v>573</v>
      </c>
    </row>
    <row r="114" spans="1:11" x14ac:dyDescent="0.2">
      <c r="A114" s="175">
        <v>7</v>
      </c>
      <c r="B114" s="176">
        <v>4</v>
      </c>
      <c r="C114" s="177">
        <v>1</v>
      </c>
      <c r="D114" s="175">
        <v>2</v>
      </c>
      <c r="E114" s="176">
        <v>1</v>
      </c>
      <c r="F114" s="176">
        <v>0</v>
      </c>
      <c r="G114" s="176">
        <v>3</v>
      </c>
      <c r="H114" s="177">
        <v>0</v>
      </c>
      <c r="I114" s="177">
        <v>1</v>
      </c>
      <c r="J114" s="177">
        <v>0</v>
      </c>
    </row>
    <row r="115" spans="1:11" s="166" customFormat="1" x14ac:dyDescent="0.2">
      <c r="A115" s="205"/>
      <c r="B115" s="191"/>
      <c r="C115" s="401" t="s">
        <v>590</v>
      </c>
      <c r="D115" s="402"/>
      <c r="E115" s="402"/>
      <c r="F115" s="402"/>
      <c r="G115" s="402"/>
      <c r="H115" s="403"/>
      <c r="I115" s="192"/>
      <c r="J115" s="192"/>
      <c r="K115" s="194"/>
    </row>
    <row r="116" spans="1:11" s="166" customFormat="1" x14ac:dyDescent="0.2">
      <c r="A116" s="205"/>
      <c r="B116" s="193"/>
      <c r="C116" s="196" t="s">
        <v>585</v>
      </c>
      <c r="D116" s="196" t="s">
        <v>586</v>
      </c>
      <c r="E116" s="196" t="s">
        <v>587</v>
      </c>
      <c r="F116" s="196" t="s">
        <v>588</v>
      </c>
      <c r="G116" s="196" t="s">
        <v>589</v>
      </c>
      <c r="H116" s="196" t="s">
        <v>53</v>
      </c>
      <c r="I116" s="194"/>
      <c r="J116" s="194"/>
      <c r="K116" s="194"/>
    </row>
    <row r="117" spans="1:11" s="166" customFormat="1" x14ac:dyDescent="0.2">
      <c r="A117" s="205"/>
      <c r="B117" s="201"/>
      <c r="C117" s="197">
        <v>2</v>
      </c>
      <c r="D117" s="198">
        <v>0</v>
      </c>
      <c r="E117" s="200">
        <v>4</v>
      </c>
      <c r="F117" s="203">
        <v>0</v>
      </c>
      <c r="G117" s="204">
        <v>0</v>
      </c>
      <c r="H117" s="195">
        <v>1</v>
      </c>
      <c r="I117" s="202"/>
      <c r="J117" s="194"/>
      <c r="K117" s="194"/>
    </row>
    <row r="118" spans="1:11" s="166" customFormat="1" x14ac:dyDescent="0.2">
      <c r="A118" s="205"/>
      <c r="B118" s="193"/>
      <c r="C118" s="401" t="s">
        <v>591</v>
      </c>
      <c r="D118" s="402"/>
      <c r="E118" s="402"/>
      <c r="F118" s="402"/>
      <c r="G118" s="402"/>
      <c r="H118" s="403"/>
      <c r="I118" s="194"/>
      <c r="J118" s="194"/>
      <c r="K118" s="194"/>
    </row>
    <row r="119" spans="1:11" s="166" customFormat="1" x14ac:dyDescent="0.2">
      <c r="A119" s="205"/>
      <c r="B119" s="193"/>
      <c r="C119" s="196" t="s">
        <v>585</v>
      </c>
      <c r="D119" s="196" t="s">
        <v>586</v>
      </c>
      <c r="E119" s="196" t="s">
        <v>587</v>
      </c>
      <c r="F119" s="196" t="s">
        <v>588</v>
      </c>
      <c r="G119" s="196" t="s">
        <v>589</v>
      </c>
      <c r="H119" s="196" t="s">
        <v>53</v>
      </c>
      <c r="I119" s="194"/>
      <c r="J119" s="194"/>
      <c r="K119" s="194"/>
    </row>
    <row r="120" spans="1:11" s="166" customFormat="1" x14ac:dyDescent="0.2">
      <c r="A120" s="205"/>
      <c r="B120" s="201"/>
      <c r="C120" s="197">
        <v>0</v>
      </c>
      <c r="D120" s="198">
        <v>5</v>
      </c>
      <c r="E120" s="200">
        <v>0</v>
      </c>
      <c r="F120" s="203">
        <v>0</v>
      </c>
      <c r="G120" s="204">
        <v>1</v>
      </c>
      <c r="H120" s="195">
        <v>1</v>
      </c>
      <c r="I120" s="194"/>
      <c r="J120" s="194"/>
      <c r="K120" s="194"/>
    </row>
    <row r="121" spans="1:11" x14ac:dyDescent="0.2">
      <c r="A121" s="425"/>
      <c r="B121" s="425"/>
      <c r="C121" s="426"/>
      <c r="D121" s="426"/>
      <c r="E121" s="426"/>
      <c r="F121" s="426"/>
      <c r="G121" s="426"/>
      <c r="H121" s="425"/>
      <c r="I121" s="425"/>
      <c r="J121" s="425"/>
    </row>
    <row r="122" spans="1:11" ht="33" customHeight="1" x14ac:dyDescent="0.2">
      <c r="A122" s="396" t="s">
        <v>556</v>
      </c>
      <c r="B122" s="396"/>
      <c r="C122" s="396"/>
      <c r="D122" s="396"/>
      <c r="E122" s="396"/>
      <c r="F122" s="396"/>
      <c r="G122" s="396"/>
      <c r="H122" s="396"/>
      <c r="I122" s="396"/>
      <c r="J122" s="396"/>
    </row>
    <row r="123" spans="1:11" ht="30" customHeight="1" x14ac:dyDescent="0.2">
      <c r="A123" s="169" t="s">
        <v>569</v>
      </c>
      <c r="B123" s="170" t="s">
        <v>594</v>
      </c>
      <c r="C123" s="171" t="s">
        <v>595</v>
      </c>
      <c r="D123" s="169" t="s">
        <v>596</v>
      </c>
      <c r="E123" s="170" t="s">
        <v>570</v>
      </c>
      <c r="F123" s="170" t="s">
        <v>574</v>
      </c>
      <c r="G123" s="170" t="s">
        <v>575</v>
      </c>
      <c r="H123" s="171" t="s">
        <v>571</v>
      </c>
      <c r="I123" s="171" t="s">
        <v>572</v>
      </c>
      <c r="J123" s="171" t="s">
        <v>573</v>
      </c>
    </row>
    <row r="124" spans="1:11" x14ac:dyDescent="0.2">
      <c r="A124" s="175">
        <v>5</v>
      </c>
      <c r="B124" s="176">
        <v>2</v>
      </c>
      <c r="C124" s="177">
        <v>0</v>
      </c>
      <c r="D124" s="175">
        <v>3</v>
      </c>
      <c r="E124" s="176">
        <v>2</v>
      </c>
      <c r="F124" s="176">
        <v>0</v>
      </c>
      <c r="G124" s="176">
        <v>0</v>
      </c>
      <c r="H124" s="177">
        <v>0</v>
      </c>
      <c r="I124" s="177">
        <v>0</v>
      </c>
      <c r="J124" s="177">
        <v>0</v>
      </c>
    </row>
    <row r="125" spans="1:11" s="166" customFormat="1" x14ac:dyDescent="0.2">
      <c r="A125" s="205"/>
      <c r="B125" s="191"/>
      <c r="C125" s="401" t="s">
        <v>590</v>
      </c>
      <c r="D125" s="402"/>
      <c r="E125" s="402"/>
      <c r="F125" s="402"/>
      <c r="G125" s="402"/>
      <c r="H125" s="403"/>
      <c r="I125" s="192"/>
      <c r="J125" s="192"/>
      <c r="K125" s="194"/>
    </row>
    <row r="126" spans="1:11" s="166" customFormat="1" x14ac:dyDescent="0.2">
      <c r="A126" s="205"/>
      <c r="B126" s="193"/>
      <c r="C126" s="196" t="s">
        <v>585</v>
      </c>
      <c r="D126" s="196" t="s">
        <v>586</v>
      </c>
      <c r="E126" s="196" t="s">
        <v>587</v>
      </c>
      <c r="F126" s="196" t="s">
        <v>588</v>
      </c>
      <c r="G126" s="196" t="s">
        <v>589</v>
      </c>
      <c r="H126" s="196" t="s">
        <v>53</v>
      </c>
      <c r="I126" s="194"/>
      <c r="J126" s="194"/>
      <c r="K126" s="194"/>
    </row>
    <row r="127" spans="1:11" s="166" customFormat="1" x14ac:dyDescent="0.2">
      <c r="A127" s="205"/>
      <c r="B127" s="201"/>
      <c r="C127" s="197">
        <v>0</v>
      </c>
      <c r="D127" s="198">
        <v>0</v>
      </c>
      <c r="E127" s="200">
        <v>0</v>
      </c>
      <c r="F127" s="203">
        <v>0</v>
      </c>
      <c r="G127" s="204">
        <v>1</v>
      </c>
      <c r="H127" s="195">
        <v>4</v>
      </c>
      <c r="I127" s="202"/>
      <c r="J127" s="194"/>
      <c r="K127" s="194"/>
    </row>
    <row r="128" spans="1:11" s="166" customFormat="1" x14ac:dyDescent="0.2">
      <c r="A128" s="205"/>
      <c r="B128" s="193"/>
      <c r="C128" s="401" t="s">
        <v>591</v>
      </c>
      <c r="D128" s="402"/>
      <c r="E128" s="402"/>
      <c r="F128" s="402"/>
      <c r="G128" s="402"/>
      <c r="H128" s="403"/>
      <c r="I128" s="194"/>
      <c r="J128" s="194"/>
      <c r="K128" s="194"/>
    </row>
    <row r="129" spans="1:11" s="166" customFormat="1" x14ac:dyDescent="0.2">
      <c r="A129" s="205"/>
      <c r="B129" s="193"/>
      <c r="C129" s="196" t="s">
        <v>585</v>
      </c>
      <c r="D129" s="196" t="s">
        <v>586</v>
      </c>
      <c r="E129" s="196" t="s">
        <v>587</v>
      </c>
      <c r="F129" s="196" t="s">
        <v>588</v>
      </c>
      <c r="G129" s="196" t="s">
        <v>589</v>
      </c>
      <c r="H129" s="196" t="s">
        <v>53</v>
      </c>
      <c r="I129" s="194"/>
      <c r="J129" s="194"/>
      <c r="K129" s="194"/>
    </row>
    <row r="130" spans="1:11" s="166" customFormat="1" x14ac:dyDescent="0.2">
      <c r="A130" s="205"/>
      <c r="B130" s="201"/>
      <c r="C130" s="197">
        <v>0</v>
      </c>
      <c r="D130" s="198">
        <v>0</v>
      </c>
      <c r="E130" s="200">
        <v>0</v>
      </c>
      <c r="F130" s="203">
        <v>0</v>
      </c>
      <c r="G130" s="204">
        <v>1</v>
      </c>
      <c r="H130" s="195">
        <v>4</v>
      </c>
      <c r="I130" s="194"/>
      <c r="J130" s="194"/>
      <c r="K130" s="194"/>
    </row>
    <row r="131" spans="1:11" x14ac:dyDescent="0.2">
      <c r="A131" s="399"/>
      <c r="B131" s="399"/>
      <c r="C131" s="400"/>
      <c r="D131" s="400"/>
      <c r="E131" s="400"/>
      <c r="F131" s="400"/>
      <c r="G131" s="400"/>
      <c r="H131" s="399"/>
      <c r="I131" s="399"/>
      <c r="J131" s="399"/>
    </row>
    <row r="132" spans="1:11" ht="25.5" x14ac:dyDescent="0.35">
      <c r="A132" s="406" t="s">
        <v>576</v>
      </c>
      <c r="B132" s="406"/>
      <c r="C132" s="406"/>
      <c r="D132" s="406"/>
      <c r="E132" s="406"/>
      <c r="F132" s="406"/>
      <c r="G132" s="406"/>
      <c r="H132" s="406"/>
      <c r="I132" s="406"/>
      <c r="J132" s="406"/>
    </row>
    <row r="133" spans="1:11" x14ac:dyDescent="0.2">
      <c r="A133" s="400"/>
      <c r="B133" s="400"/>
      <c r="C133" s="400"/>
      <c r="D133" s="400"/>
      <c r="E133" s="400"/>
      <c r="F133" s="400"/>
      <c r="G133" s="400"/>
      <c r="H133" s="400"/>
      <c r="I133" s="400"/>
      <c r="J133" s="400"/>
    </row>
    <row r="134" spans="1:11" ht="37.5" customHeight="1" x14ac:dyDescent="0.2">
      <c r="A134" s="396" t="s">
        <v>577</v>
      </c>
      <c r="B134" s="396"/>
      <c r="C134" s="396"/>
      <c r="D134" s="396"/>
      <c r="E134" s="396"/>
      <c r="F134" s="396"/>
      <c r="G134" s="396"/>
      <c r="H134" s="396"/>
      <c r="I134" s="396"/>
      <c r="J134" s="396"/>
    </row>
    <row r="135" spans="1:11" ht="30" customHeight="1" x14ac:dyDescent="0.2">
      <c r="A135" s="169" t="s">
        <v>569</v>
      </c>
      <c r="B135" s="170" t="s">
        <v>594</v>
      </c>
      <c r="C135" s="171" t="s">
        <v>595</v>
      </c>
      <c r="D135" s="169" t="s">
        <v>596</v>
      </c>
      <c r="E135" s="170" t="s">
        <v>570</v>
      </c>
      <c r="F135" s="170" t="s">
        <v>574</v>
      </c>
      <c r="G135" s="170" t="s">
        <v>575</v>
      </c>
      <c r="H135" s="171" t="s">
        <v>571</v>
      </c>
      <c r="I135" s="171" t="s">
        <v>572</v>
      </c>
      <c r="J135" s="171" t="s">
        <v>573</v>
      </c>
    </row>
    <row r="136" spans="1:11" x14ac:dyDescent="0.2">
      <c r="A136" s="175">
        <f t="shared" ref="A136:J136" si="0">A4+A14+A24+A34+A44+A54+A64+A74+A84+A94+A104+A114+A124</f>
        <v>121</v>
      </c>
      <c r="B136" s="176">
        <f t="shared" si="0"/>
        <v>46</v>
      </c>
      <c r="C136" s="177">
        <f t="shared" si="0"/>
        <v>59</v>
      </c>
      <c r="D136" s="175">
        <f t="shared" si="0"/>
        <v>16</v>
      </c>
      <c r="E136" s="176">
        <f t="shared" si="0"/>
        <v>30</v>
      </c>
      <c r="F136" s="176">
        <f t="shared" si="0"/>
        <v>9</v>
      </c>
      <c r="G136" s="176">
        <f t="shared" si="0"/>
        <v>7</v>
      </c>
      <c r="H136" s="177">
        <f t="shared" si="0"/>
        <v>28</v>
      </c>
      <c r="I136" s="177">
        <f t="shared" si="0"/>
        <v>25</v>
      </c>
      <c r="J136" s="177">
        <f t="shared" si="0"/>
        <v>6</v>
      </c>
    </row>
    <row r="137" spans="1:11" s="179" customFormat="1" x14ac:dyDescent="0.2">
      <c r="A137" s="182">
        <f>B137+C137+D137</f>
        <v>1</v>
      </c>
      <c r="B137" s="182">
        <f>B136/A136</f>
        <v>0.38016528925619836</v>
      </c>
      <c r="C137" s="182">
        <f>C136/A136</f>
        <v>0.48760330578512395</v>
      </c>
      <c r="D137" s="182">
        <f>D136/A136</f>
        <v>0.13223140495867769</v>
      </c>
      <c r="E137" s="420"/>
      <c r="F137" s="420"/>
      <c r="G137" s="420"/>
      <c r="H137" s="420"/>
      <c r="I137" s="420"/>
      <c r="J137" s="420"/>
      <c r="K137" s="211"/>
    </row>
    <row r="138" spans="1:11" s="178" customFormat="1" x14ac:dyDescent="0.2">
      <c r="A138" s="183"/>
      <c r="B138" s="184">
        <f>E138+F138+G138</f>
        <v>1</v>
      </c>
      <c r="C138" s="423"/>
      <c r="D138" s="424"/>
      <c r="E138" s="180">
        <f>E136/B136</f>
        <v>0.65217391304347827</v>
      </c>
      <c r="F138" s="180">
        <f>F136/B136</f>
        <v>0.19565217391304349</v>
      </c>
      <c r="G138" s="180">
        <f>G136/B136</f>
        <v>0.15217391304347827</v>
      </c>
      <c r="H138" s="421"/>
      <c r="I138" s="421"/>
      <c r="J138" s="421"/>
      <c r="K138" s="212"/>
    </row>
    <row r="139" spans="1:11" s="178" customFormat="1" x14ac:dyDescent="0.2">
      <c r="A139" s="183"/>
      <c r="B139" s="183"/>
      <c r="C139" s="181">
        <f>H139+I139+J139</f>
        <v>1</v>
      </c>
      <c r="D139" s="421"/>
      <c r="E139" s="421"/>
      <c r="F139" s="421"/>
      <c r="G139" s="421"/>
      <c r="H139" s="190">
        <f>H136/C136</f>
        <v>0.47457627118644069</v>
      </c>
      <c r="I139" s="190">
        <f>I136/C136</f>
        <v>0.42372881355932202</v>
      </c>
      <c r="J139" s="190">
        <f>J136/C136</f>
        <v>0.10169491525423729</v>
      </c>
      <c r="K139" s="212"/>
    </row>
    <row r="140" spans="1:11" s="178" customFormat="1" x14ac:dyDescent="0.2">
      <c r="A140" s="183"/>
      <c r="B140" s="183"/>
      <c r="C140" s="185"/>
      <c r="D140" s="186"/>
      <c r="E140" s="186"/>
      <c r="F140" s="186"/>
      <c r="G140" s="186"/>
      <c r="H140" s="185"/>
      <c r="I140" s="185"/>
      <c r="J140" s="185"/>
      <c r="K140" s="212"/>
    </row>
    <row r="141" spans="1:11" s="178" customFormat="1" x14ac:dyDescent="0.2">
      <c r="A141" s="183"/>
      <c r="B141" s="183"/>
      <c r="C141" s="187"/>
      <c r="D141" s="188"/>
      <c r="E141" s="405" t="s">
        <v>580</v>
      </c>
      <c r="F141" s="405"/>
      <c r="G141" s="405"/>
      <c r="H141" s="405"/>
      <c r="I141" s="187"/>
      <c r="J141" s="187"/>
      <c r="K141" s="212"/>
    </row>
    <row r="142" spans="1:11" s="178" customFormat="1" x14ac:dyDescent="0.2">
      <c r="A142" s="183"/>
      <c r="B142" s="183"/>
      <c r="C142" s="187"/>
      <c r="D142" s="188"/>
      <c r="E142" s="188"/>
      <c r="F142" s="188"/>
      <c r="G142" s="188"/>
      <c r="H142" s="187"/>
      <c r="I142" s="187"/>
      <c r="J142" s="187"/>
      <c r="K142" s="212"/>
    </row>
    <row r="143" spans="1:11" s="178" customFormat="1" x14ac:dyDescent="0.2">
      <c r="A143" s="183"/>
      <c r="B143" s="183"/>
      <c r="C143" s="187"/>
      <c r="D143" s="188"/>
      <c r="E143" s="189"/>
      <c r="F143" s="405" t="s">
        <v>579</v>
      </c>
      <c r="G143" s="405"/>
      <c r="H143" s="405"/>
      <c r="I143" s="405"/>
      <c r="J143" s="187"/>
      <c r="K143" s="212"/>
    </row>
    <row r="144" spans="1:11" s="178" customFormat="1" x14ac:dyDescent="0.2">
      <c r="A144" s="183"/>
      <c r="B144" s="183"/>
      <c r="C144" s="187"/>
      <c r="D144" s="188"/>
      <c r="E144" s="188"/>
      <c r="F144" s="188"/>
      <c r="G144" s="405" t="s">
        <v>581</v>
      </c>
      <c r="H144" s="405"/>
      <c r="I144" s="405"/>
      <c r="J144" s="405"/>
      <c r="K144" s="212"/>
    </row>
    <row r="145" spans="1:11" s="178" customFormat="1" x14ac:dyDescent="0.2">
      <c r="A145" s="183"/>
      <c r="B145" s="183"/>
      <c r="C145" s="187"/>
      <c r="D145" s="188"/>
      <c r="E145" s="188"/>
      <c r="F145" s="188"/>
      <c r="G145" s="405"/>
      <c r="H145" s="405"/>
      <c r="I145" s="405"/>
      <c r="J145" s="405"/>
      <c r="K145" s="212"/>
    </row>
    <row r="146" spans="1:11" s="178" customFormat="1" x14ac:dyDescent="0.2">
      <c r="A146" s="183"/>
      <c r="B146" s="183"/>
      <c r="C146" s="187"/>
      <c r="D146" s="188"/>
      <c r="E146" s="188"/>
      <c r="F146" s="188"/>
      <c r="G146" s="188"/>
      <c r="H146" s="187"/>
      <c r="I146" s="187"/>
      <c r="J146" s="187"/>
      <c r="K146" s="212"/>
    </row>
    <row r="147" spans="1:11" s="178" customFormat="1" x14ac:dyDescent="0.2">
      <c r="A147" s="183"/>
      <c r="B147" s="183"/>
      <c r="C147" s="187"/>
      <c r="D147" s="188"/>
      <c r="E147" s="188"/>
      <c r="F147" s="188"/>
      <c r="G147" s="188"/>
      <c r="H147" s="187"/>
      <c r="I147" s="187"/>
      <c r="J147" s="187"/>
      <c r="K147" s="212"/>
    </row>
    <row r="148" spans="1:11" s="166" customFormat="1" x14ac:dyDescent="0.2">
      <c r="A148" s="412" t="s">
        <v>569</v>
      </c>
      <c r="B148" s="413"/>
      <c r="C148" s="411" t="s">
        <v>590</v>
      </c>
      <c r="D148" s="411"/>
      <c r="E148" s="411"/>
      <c r="F148" s="411"/>
      <c r="G148" s="411"/>
      <c r="H148" s="411"/>
      <c r="I148" s="192"/>
      <c r="J148" s="192"/>
      <c r="K148" s="194"/>
    </row>
    <row r="149" spans="1:11" s="166" customFormat="1" x14ac:dyDescent="0.2">
      <c r="A149" s="414"/>
      <c r="B149" s="415"/>
      <c r="C149" s="196" t="s">
        <v>585</v>
      </c>
      <c r="D149" s="196" t="s">
        <v>586</v>
      </c>
      <c r="E149" s="196" t="s">
        <v>587</v>
      </c>
      <c r="F149" s="196" t="s">
        <v>588</v>
      </c>
      <c r="G149" s="196" t="s">
        <v>589</v>
      </c>
      <c r="H149" s="196" t="s">
        <v>53</v>
      </c>
      <c r="I149" s="194"/>
      <c r="J149" s="194"/>
      <c r="K149" s="194"/>
    </row>
    <row r="150" spans="1:11" s="166" customFormat="1" x14ac:dyDescent="0.2">
      <c r="A150" s="216">
        <f>C150+D150+E150+F150+G150+H150</f>
        <v>121</v>
      </c>
      <c r="B150" s="217"/>
      <c r="C150" s="197">
        <f>C7+C17+C27+C37+C47+C57+C67+C77+C87+C97+C107+C117+C127</f>
        <v>77</v>
      </c>
      <c r="D150" s="198">
        <f t="shared" ref="D150:H150" si="1">D7+D17+D27+D37+D47+D57+D67+D77+D87+D97+D107+D117+D127</f>
        <v>12</v>
      </c>
      <c r="E150" s="200">
        <f t="shared" si="1"/>
        <v>13</v>
      </c>
      <c r="F150" s="203">
        <f t="shared" si="1"/>
        <v>5</v>
      </c>
      <c r="G150" s="204">
        <f t="shared" si="1"/>
        <v>4</v>
      </c>
      <c r="H150" s="195">
        <f t="shared" si="1"/>
        <v>10</v>
      </c>
      <c r="I150" s="202"/>
      <c r="J150" s="194"/>
      <c r="K150" s="194"/>
    </row>
    <row r="151" spans="1:11" s="213" customFormat="1" x14ac:dyDescent="0.2">
      <c r="A151" s="416">
        <f>C151+D151+E151+F151+G151+H151</f>
        <v>1</v>
      </c>
      <c r="B151" s="416"/>
      <c r="C151" s="215">
        <f>C150/A150</f>
        <v>0.63636363636363635</v>
      </c>
      <c r="D151" s="215">
        <f>D150/A150</f>
        <v>9.9173553719008267E-2</v>
      </c>
      <c r="E151" s="215">
        <f>E150/A150</f>
        <v>0.10743801652892562</v>
      </c>
      <c r="F151" s="215">
        <f>F150/A150</f>
        <v>4.1322314049586778E-2</v>
      </c>
      <c r="G151" s="215">
        <f>G150/A150</f>
        <v>3.3057851239669422E-2</v>
      </c>
      <c r="H151" s="215">
        <f>H150/A150</f>
        <v>8.2644628099173556E-2</v>
      </c>
      <c r="I151" s="194"/>
      <c r="J151" s="194"/>
      <c r="K151" s="194"/>
    </row>
    <row r="152" spans="1:11" s="213" customFormat="1" x14ac:dyDescent="0.2">
      <c r="A152" s="416">
        <f>C152+E152</f>
        <v>1</v>
      </c>
      <c r="B152" s="416"/>
      <c r="C152" s="419">
        <f>(C150+D150)/111</f>
        <v>0.80180180180180183</v>
      </c>
      <c r="D152" s="419"/>
      <c r="E152" s="422">
        <f>(E150+F150+G150)/111</f>
        <v>0.1981981981981982</v>
      </c>
      <c r="F152" s="422"/>
      <c r="G152" s="422"/>
      <c r="H152" s="218"/>
      <c r="I152" s="194"/>
      <c r="J152" s="194"/>
      <c r="K152" s="194"/>
    </row>
    <row r="153" spans="1:11" s="213" customFormat="1" x14ac:dyDescent="0.2">
      <c r="B153" s="193"/>
      <c r="C153" s="206"/>
      <c r="D153" s="206"/>
      <c r="E153" s="214"/>
      <c r="F153" s="206"/>
      <c r="G153" s="206"/>
      <c r="H153" s="206"/>
      <c r="I153" s="194"/>
      <c r="J153" s="194"/>
      <c r="K153" s="194"/>
    </row>
    <row r="154" spans="1:11" s="166" customFormat="1" x14ac:dyDescent="0.2">
      <c r="A154" s="412" t="s">
        <v>569</v>
      </c>
      <c r="B154" s="413"/>
      <c r="C154" s="401" t="s">
        <v>591</v>
      </c>
      <c r="D154" s="402"/>
      <c r="E154" s="402"/>
      <c r="F154" s="402"/>
      <c r="G154" s="402"/>
      <c r="H154" s="403"/>
      <c r="I154" s="194"/>
      <c r="J154" s="194"/>
      <c r="K154" s="194"/>
    </row>
    <row r="155" spans="1:11" s="166" customFormat="1" x14ac:dyDescent="0.2">
      <c r="A155" s="414"/>
      <c r="B155" s="415"/>
      <c r="C155" s="196" t="s">
        <v>585</v>
      </c>
      <c r="D155" s="196" t="s">
        <v>586</v>
      </c>
      <c r="E155" s="196" t="s">
        <v>587</v>
      </c>
      <c r="F155" s="196" t="s">
        <v>588</v>
      </c>
      <c r="G155" s="196" t="s">
        <v>589</v>
      </c>
      <c r="H155" s="196" t="s">
        <v>53</v>
      </c>
      <c r="I155" s="194"/>
      <c r="J155" s="194"/>
      <c r="K155" s="194"/>
    </row>
    <row r="156" spans="1:11" s="166" customFormat="1" x14ac:dyDescent="0.2">
      <c r="A156" s="216">
        <f>C156+D156+E156+F156+G156+H156</f>
        <v>121</v>
      </c>
      <c r="B156" s="217"/>
      <c r="C156" s="197">
        <f t="shared" ref="C156:H156" si="2">C10+C20+C30+C40+C50+C60+C70+C80+C90+C100+C110+C120+C130</f>
        <v>35</v>
      </c>
      <c r="D156" s="198">
        <f t="shared" si="2"/>
        <v>35</v>
      </c>
      <c r="E156" s="200">
        <f t="shared" si="2"/>
        <v>3</v>
      </c>
      <c r="F156" s="203">
        <f t="shared" si="2"/>
        <v>5</v>
      </c>
      <c r="G156" s="204">
        <f t="shared" si="2"/>
        <v>33</v>
      </c>
      <c r="H156" s="195">
        <f t="shared" si="2"/>
        <v>10</v>
      </c>
      <c r="I156" s="194"/>
      <c r="J156" s="194"/>
      <c r="K156" s="194"/>
    </row>
    <row r="157" spans="1:11" s="178" customFormat="1" x14ac:dyDescent="0.2">
      <c r="A157" s="416">
        <f>C157+D157+E157+F157+G157+H157</f>
        <v>1</v>
      </c>
      <c r="B157" s="416"/>
      <c r="C157" s="215">
        <f>C156/$A$156</f>
        <v>0.28925619834710742</v>
      </c>
      <c r="D157" s="215">
        <f t="shared" ref="D157:H157" si="3">D156/$A$156</f>
        <v>0.28925619834710742</v>
      </c>
      <c r="E157" s="215">
        <f t="shared" si="3"/>
        <v>2.4793388429752067E-2</v>
      </c>
      <c r="F157" s="215">
        <f t="shared" si="3"/>
        <v>4.1322314049586778E-2</v>
      </c>
      <c r="G157" s="215">
        <f t="shared" si="3"/>
        <v>0.27272727272727271</v>
      </c>
      <c r="H157" s="215">
        <f t="shared" si="3"/>
        <v>8.2644628099173556E-2</v>
      </c>
      <c r="I157" s="187"/>
      <c r="J157" s="187"/>
      <c r="K157" s="212"/>
    </row>
    <row r="158" spans="1:11" s="213" customFormat="1" x14ac:dyDescent="0.2">
      <c r="A158" s="416">
        <f>C158+E158</f>
        <v>1</v>
      </c>
      <c r="B158" s="416"/>
      <c r="C158" s="419">
        <f>(C156+D156)/111</f>
        <v>0.63063063063063063</v>
      </c>
      <c r="D158" s="419"/>
      <c r="E158" s="422">
        <f>(E156+F156+G156)/111</f>
        <v>0.36936936936936937</v>
      </c>
      <c r="F158" s="422"/>
      <c r="G158" s="422"/>
      <c r="H158" s="218"/>
      <c r="I158" s="194"/>
      <c r="J158" s="194"/>
      <c r="K158" s="194"/>
    </row>
    <row r="159" spans="1:11" s="178" customFormat="1" x14ac:dyDescent="0.2">
      <c r="A159" s="183"/>
      <c r="B159" s="183"/>
      <c r="C159" s="187"/>
      <c r="D159" s="188"/>
      <c r="E159" s="188"/>
      <c r="F159" s="188"/>
      <c r="G159" s="188"/>
      <c r="H159" s="187"/>
      <c r="I159" s="187"/>
      <c r="J159" s="187"/>
      <c r="K159" s="212"/>
    </row>
    <row r="160" spans="1:11" s="178" customFormat="1" x14ac:dyDescent="0.2">
      <c r="A160" s="410"/>
      <c r="B160" s="410"/>
      <c r="C160" s="410"/>
      <c r="D160" s="410"/>
      <c r="E160" s="410"/>
      <c r="F160" s="410"/>
      <c r="G160" s="410"/>
      <c r="H160" s="410"/>
      <c r="I160" s="410"/>
      <c r="J160" s="410"/>
      <c r="K160" s="212"/>
    </row>
    <row r="161" spans="1:11" s="178" customFormat="1" ht="25.5" x14ac:dyDescent="0.35">
      <c r="A161" s="406" t="s">
        <v>582</v>
      </c>
      <c r="B161" s="406"/>
      <c r="C161" s="406"/>
      <c r="D161" s="406"/>
      <c r="E161" s="406"/>
      <c r="F161" s="406"/>
      <c r="G161" s="406"/>
      <c r="H161" s="406"/>
      <c r="I161" s="406"/>
      <c r="J161" s="406"/>
      <c r="K161" s="212"/>
    </row>
    <row r="162" spans="1:11" s="178" customFormat="1" x14ac:dyDescent="0.2">
      <c r="A162" s="417" t="s">
        <v>592</v>
      </c>
      <c r="B162" s="417"/>
      <c r="C162" s="417"/>
      <c r="D162" s="417"/>
      <c r="E162" s="417"/>
      <c r="F162" s="417"/>
      <c r="G162" s="417"/>
      <c r="H162" s="417"/>
      <c r="I162" s="417"/>
      <c r="J162" s="417"/>
      <c r="K162" s="212"/>
    </row>
    <row r="163" spans="1:11" s="178" customFormat="1" x14ac:dyDescent="0.2">
      <c r="A163" s="418" t="s">
        <v>593</v>
      </c>
      <c r="B163" s="418"/>
      <c r="C163" s="418"/>
      <c r="D163" s="418"/>
      <c r="E163" s="418"/>
      <c r="F163" s="418"/>
      <c r="G163" s="418"/>
      <c r="H163" s="418"/>
      <c r="I163" s="418"/>
      <c r="J163" s="418"/>
      <c r="K163" s="212"/>
    </row>
    <row r="164" spans="1:11" s="178" customFormat="1" x14ac:dyDescent="0.2">
      <c r="A164" s="407" t="s">
        <v>583</v>
      </c>
      <c r="B164" s="407"/>
      <c r="C164" s="407"/>
      <c r="D164" s="407"/>
      <c r="E164" s="407"/>
      <c r="F164" s="407"/>
      <c r="G164" s="407"/>
      <c r="H164" s="407"/>
      <c r="I164" s="407"/>
      <c r="J164" s="407"/>
      <c r="K164" s="212"/>
    </row>
    <row r="165" spans="1:11" x14ac:dyDescent="0.2">
      <c r="A165" s="404"/>
      <c r="B165" s="404"/>
      <c r="C165" s="404"/>
      <c r="D165" s="404"/>
      <c r="E165" s="404"/>
      <c r="F165" s="404"/>
      <c r="G165" s="404"/>
      <c r="H165" s="404"/>
      <c r="I165" s="404"/>
      <c r="J165" s="404"/>
    </row>
    <row r="166" spans="1:11" x14ac:dyDescent="0.2">
      <c r="A166" s="404"/>
      <c r="B166" s="404"/>
      <c r="C166" s="404"/>
      <c r="D166" s="404"/>
      <c r="E166" s="404"/>
      <c r="F166" s="404"/>
      <c r="G166" s="404"/>
      <c r="H166" s="404"/>
      <c r="I166" s="404"/>
      <c r="J166" s="404"/>
    </row>
    <row r="167" spans="1:11" x14ac:dyDescent="0.2">
      <c r="A167" s="404"/>
      <c r="B167" s="404"/>
      <c r="C167" s="404"/>
      <c r="D167" s="404"/>
      <c r="E167" s="404"/>
      <c r="F167" s="404"/>
      <c r="G167" s="404"/>
      <c r="H167" s="404"/>
      <c r="I167" s="404"/>
      <c r="J167" s="404"/>
    </row>
    <row r="168" spans="1:11" x14ac:dyDescent="0.2">
      <c r="A168" s="408"/>
      <c r="B168" s="408"/>
      <c r="C168" s="408"/>
      <c r="D168" s="408"/>
      <c r="E168" s="408"/>
      <c r="F168" s="408"/>
      <c r="G168" s="408"/>
      <c r="H168" s="408"/>
      <c r="I168" s="408"/>
      <c r="J168" s="408"/>
    </row>
    <row r="169" spans="1:11" s="178" customFormat="1" ht="25.5" x14ac:dyDescent="0.35">
      <c r="A169" s="409" t="s">
        <v>578</v>
      </c>
      <c r="B169" s="409"/>
      <c r="C169" s="409"/>
      <c r="D169" s="409"/>
      <c r="E169" s="409"/>
      <c r="F169" s="409"/>
      <c r="G169" s="409"/>
      <c r="H169" s="409"/>
      <c r="I169" s="409"/>
      <c r="J169" s="409"/>
      <c r="K169" s="212"/>
    </row>
    <row r="170" spans="1:11" s="178" customFormat="1" x14ac:dyDescent="0.2">
      <c r="A170" s="404" t="s">
        <v>584</v>
      </c>
      <c r="B170" s="404"/>
      <c r="C170" s="404"/>
      <c r="D170" s="404"/>
      <c r="E170" s="404"/>
      <c r="F170" s="404"/>
      <c r="G170" s="404"/>
      <c r="H170" s="404"/>
      <c r="I170" s="404"/>
      <c r="J170" s="404"/>
      <c r="K170" s="212"/>
    </row>
    <row r="171" spans="1:11" x14ac:dyDescent="0.2">
      <c r="A171" s="404"/>
      <c r="B171" s="404"/>
      <c r="C171" s="404"/>
      <c r="D171" s="404"/>
      <c r="E171" s="404"/>
      <c r="F171" s="404"/>
      <c r="G171" s="404"/>
      <c r="H171" s="404"/>
      <c r="I171" s="404"/>
      <c r="J171" s="404"/>
    </row>
    <row r="172" spans="1:11" x14ac:dyDescent="0.2">
      <c r="A172" s="404"/>
      <c r="B172" s="404"/>
      <c r="C172" s="404"/>
      <c r="D172" s="404"/>
      <c r="E172" s="404"/>
      <c r="F172" s="404"/>
      <c r="G172" s="404"/>
      <c r="H172" s="404"/>
      <c r="I172" s="404"/>
      <c r="J172" s="404"/>
    </row>
    <row r="173" spans="1:11" x14ac:dyDescent="0.2">
      <c r="A173" s="404"/>
      <c r="B173" s="404"/>
      <c r="C173" s="404"/>
      <c r="D173" s="404"/>
      <c r="E173" s="404"/>
      <c r="F173" s="404"/>
      <c r="G173" s="404"/>
      <c r="H173" s="404"/>
      <c r="I173" s="404"/>
      <c r="J173" s="404"/>
    </row>
    <row r="174" spans="1:11" x14ac:dyDescent="0.2">
      <c r="A174" s="404"/>
      <c r="B174" s="404"/>
      <c r="C174" s="404"/>
      <c r="D174" s="404"/>
      <c r="E174" s="404"/>
      <c r="F174" s="404"/>
      <c r="G174" s="404"/>
      <c r="H174" s="404"/>
      <c r="I174" s="404"/>
      <c r="J174" s="404"/>
    </row>
    <row r="177" spans="1:10" ht="25.5" x14ac:dyDescent="0.35">
      <c r="A177" s="409" t="s">
        <v>597</v>
      </c>
      <c r="B177" s="409"/>
      <c r="C177" s="409"/>
      <c r="D177" s="409"/>
      <c r="E177" s="409"/>
      <c r="F177" s="409"/>
      <c r="G177" s="409"/>
      <c r="H177" s="409"/>
      <c r="I177" s="409"/>
      <c r="J177" s="409"/>
    </row>
    <row r="178" spans="1:10" ht="25.5" x14ac:dyDescent="0.2">
      <c r="A178" s="430" t="s">
        <v>598</v>
      </c>
      <c r="B178" s="431"/>
      <c r="C178" s="431"/>
      <c r="D178" s="432"/>
      <c r="E178" s="430" t="s">
        <v>599</v>
      </c>
      <c r="F178" s="431"/>
      <c r="G178" s="431"/>
      <c r="H178" s="431"/>
      <c r="I178" s="431"/>
      <c r="J178" s="432"/>
    </row>
    <row r="179" spans="1:10" x14ac:dyDescent="0.2">
      <c r="A179" s="433" t="s">
        <v>600</v>
      </c>
      <c r="B179" s="433"/>
      <c r="C179" s="433"/>
      <c r="D179" s="433"/>
      <c r="E179" s="433"/>
      <c r="F179" s="433"/>
      <c r="G179" s="433"/>
      <c r="H179" s="433"/>
      <c r="I179" s="433"/>
      <c r="J179" s="433"/>
    </row>
    <row r="180" spans="1:10" x14ac:dyDescent="0.2">
      <c r="A180" s="427" t="s">
        <v>601</v>
      </c>
      <c r="B180" s="428"/>
      <c r="C180" s="428"/>
      <c r="D180" s="428"/>
      <c r="E180" s="428"/>
      <c r="F180" s="428"/>
      <c r="G180" s="428"/>
      <c r="H180" s="428"/>
      <c r="I180" s="428"/>
      <c r="J180" s="429"/>
    </row>
    <row r="181" spans="1:10" x14ac:dyDescent="0.2">
      <c r="A181" s="427" t="s">
        <v>601</v>
      </c>
      <c r="B181" s="428"/>
      <c r="C181" s="428"/>
      <c r="D181" s="428"/>
      <c r="E181" s="428"/>
      <c r="F181" s="428"/>
      <c r="G181" s="428"/>
      <c r="H181" s="428"/>
      <c r="I181" s="428"/>
      <c r="J181" s="429"/>
    </row>
    <row r="182" spans="1:10" x14ac:dyDescent="0.2">
      <c r="A182" s="427" t="s">
        <v>601</v>
      </c>
      <c r="B182" s="428"/>
      <c r="C182" s="428"/>
      <c r="D182" s="428"/>
      <c r="E182" s="428"/>
      <c r="F182" s="428"/>
      <c r="G182" s="428"/>
      <c r="H182" s="428"/>
      <c r="I182" s="428"/>
      <c r="J182" s="429"/>
    </row>
    <row r="183" spans="1:10" x14ac:dyDescent="0.2">
      <c r="A183" s="427" t="s">
        <v>601</v>
      </c>
      <c r="B183" s="428"/>
      <c r="C183" s="428"/>
      <c r="D183" s="428"/>
      <c r="E183" s="428"/>
      <c r="F183" s="428"/>
      <c r="G183" s="428"/>
      <c r="H183" s="428"/>
      <c r="I183" s="428"/>
      <c r="J183" s="429"/>
    </row>
    <row r="184" spans="1:10" x14ac:dyDescent="0.2">
      <c r="A184" s="427" t="s">
        <v>601</v>
      </c>
      <c r="B184" s="428"/>
      <c r="C184" s="428"/>
      <c r="D184" s="428"/>
      <c r="E184" s="428"/>
      <c r="F184" s="428"/>
      <c r="G184" s="428"/>
      <c r="H184" s="428"/>
      <c r="I184" s="428"/>
      <c r="J184" s="429"/>
    </row>
    <row r="186" spans="1:10" ht="25.5" x14ac:dyDescent="0.2">
      <c r="A186" s="430" t="s">
        <v>602</v>
      </c>
      <c r="B186" s="431"/>
      <c r="C186" s="431"/>
      <c r="D186" s="432"/>
      <c r="E186" s="430" t="s">
        <v>599</v>
      </c>
      <c r="F186" s="431"/>
      <c r="G186" s="431"/>
      <c r="H186" s="431"/>
      <c r="I186" s="431"/>
      <c r="J186" s="432"/>
    </row>
    <row r="187" spans="1:10" x14ac:dyDescent="0.2">
      <c r="A187" s="427" t="s">
        <v>601</v>
      </c>
      <c r="B187" s="428"/>
      <c r="C187" s="428"/>
      <c r="D187" s="428"/>
      <c r="E187" s="428"/>
      <c r="F187" s="428"/>
      <c r="G187" s="428"/>
      <c r="H187" s="428"/>
      <c r="I187" s="428"/>
      <c r="J187" s="429"/>
    </row>
    <row r="188" spans="1:10" x14ac:dyDescent="0.2">
      <c r="A188" s="427" t="s">
        <v>601</v>
      </c>
      <c r="B188" s="428"/>
      <c r="C188" s="428"/>
      <c r="D188" s="428"/>
      <c r="E188" s="428"/>
      <c r="F188" s="428"/>
      <c r="G188" s="428"/>
      <c r="H188" s="428"/>
      <c r="I188" s="428"/>
      <c r="J188" s="429"/>
    </row>
    <row r="189" spans="1:10" x14ac:dyDescent="0.2">
      <c r="A189" s="427" t="s">
        <v>601</v>
      </c>
      <c r="B189" s="428"/>
      <c r="C189" s="428"/>
      <c r="D189" s="428"/>
      <c r="E189" s="428"/>
      <c r="F189" s="428"/>
      <c r="G189" s="428"/>
      <c r="H189" s="428"/>
      <c r="I189" s="428"/>
      <c r="J189" s="429"/>
    </row>
    <row r="190" spans="1:10" x14ac:dyDescent="0.2">
      <c r="A190" s="427" t="s">
        <v>601</v>
      </c>
      <c r="B190" s="428"/>
      <c r="C190" s="428"/>
      <c r="D190" s="428"/>
      <c r="E190" s="428"/>
      <c r="F190" s="428"/>
      <c r="G190" s="428"/>
      <c r="H190" s="428"/>
      <c r="I190" s="428"/>
      <c r="J190" s="429"/>
    </row>
    <row r="191" spans="1:10" x14ac:dyDescent="0.2">
      <c r="A191" s="427" t="s">
        <v>601</v>
      </c>
      <c r="B191" s="428"/>
      <c r="C191" s="428"/>
      <c r="D191" s="428"/>
      <c r="E191" s="428"/>
      <c r="F191" s="428"/>
      <c r="G191" s="428"/>
      <c r="H191" s="428"/>
      <c r="I191" s="428"/>
      <c r="J191" s="429"/>
    </row>
    <row r="193" spans="1:10" ht="25.5" x14ac:dyDescent="0.2">
      <c r="A193" s="430" t="s">
        <v>603</v>
      </c>
      <c r="B193" s="431"/>
      <c r="C193" s="431"/>
      <c r="D193" s="432"/>
      <c r="E193" s="430" t="s">
        <v>599</v>
      </c>
      <c r="F193" s="431"/>
      <c r="G193" s="431"/>
      <c r="H193" s="431"/>
      <c r="I193" s="431"/>
      <c r="J193" s="432"/>
    </row>
    <row r="194" spans="1:10" x14ac:dyDescent="0.2">
      <c r="A194" s="427" t="s">
        <v>601</v>
      </c>
      <c r="B194" s="428"/>
      <c r="C194" s="428"/>
      <c r="D194" s="428"/>
      <c r="E194" s="428"/>
      <c r="F194" s="428"/>
      <c r="G194" s="428"/>
      <c r="H194" s="428"/>
      <c r="I194" s="428"/>
      <c r="J194" s="429"/>
    </row>
    <row r="195" spans="1:10" x14ac:dyDescent="0.2">
      <c r="A195" s="427" t="s">
        <v>601</v>
      </c>
      <c r="B195" s="428"/>
      <c r="C195" s="428"/>
      <c r="D195" s="428"/>
      <c r="E195" s="428"/>
      <c r="F195" s="428"/>
      <c r="G195" s="428"/>
      <c r="H195" s="428"/>
      <c r="I195" s="428"/>
      <c r="J195" s="429"/>
    </row>
    <row r="196" spans="1:10" x14ac:dyDescent="0.2">
      <c r="A196" s="427" t="s">
        <v>601</v>
      </c>
      <c r="B196" s="428"/>
      <c r="C196" s="428"/>
      <c r="D196" s="428"/>
      <c r="E196" s="428"/>
      <c r="F196" s="428"/>
      <c r="G196" s="428"/>
      <c r="H196" s="428"/>
      <c r="I196" s="428"/>
      <c r="J196" s="429"/>
    </row>
    <row r="197" spans="1:10" x14ac:dyDescent="0.2">
      <c r="A197" s="427" t="s">
        <v>601</v>
      </c>
      <c r="B197" s="428"/>
      <c r="C197" s="428"/>
      <c r="D197" s="428"/>
      <c r="E197" s="428"/>
      <c r="F197" s="428"/>
      <c r="G197" s="428"/>
      <c r="H197" s="428"/>
      <c r="I197" s="428"/>
      <c r="J197" s="429"/>
    </row>
    <row r="198" spans="1:10" x14ac:dyDescent="0.2">
      <c r="A198" s="427" t="s">
        <v>601</v>
      </c>
      <c r="B198" s="428"/>
      <c r="C198" s="428"/>
      <c r="D198" s="428"/>
      <c r="E198" s="428"/>
      <c r="F198" s="428"/>
      <c r="G198" s="428"/>
      <c r="H198" s="428"/>
      <c r="I198" s="428"/>
      <c r="J198" s="429"/>
    </row>
    <row r="200" spans="1:10" ht="25.5" x14ac:dyDescent="0.2">
      <c r="A200" s="430" t="s">
        <v>604</v>
      </c>
      <c r="B200" s="431"/>
      <c r="C200" s="431"/>
      <c r="D200" s="432"/>
      <c r="E200" s="430" t="s">
        <v>599</v>
      </c>
      <c r="F200" s="431"/>
      <c r="G200" s="431"/>
      <c r="H200" s="431"/>
      <c r="I200" s="431"/>
      <c r="J200" s="432"/>
    </row>
    <row r="201" spans="1:10" x14ac:dyDescent="0.2">
      <c r="A201" s="427" t="s">
        <v>601</v>
      </c>
      <c r="B201" s="428"/>
      <c r="C201" s="428"/>
      <c r="D201" s="428"/>
      <c r="E201" s="428"/>
      <c r="F201" s="428"/>
      <c r="G201" s="428"/>
      <c r="H201" s="428"/>
      <c r="I201" s="428"/>
      <c r="J201" s="429"/>
    </row>
    <row r="202" spans="1:10" x14ac:dyDescent="0.2">
      <c r="A202" s="427" t="s">
        <v>601</v>
      </c>
      <c r="B202" s="428"/>
      <c r="C202" s="428"/>
      <c r="D202" s="428"/>
      <c r="E202" s="428"/>
      <c r="F202" s="428"/>
      <c r="G202" s="428"/>
      <c r="H202" s="428"/>
      <c r="I202" s="428"/>
      <c r="J202" s="429"/>
    </row>
    <row r="203" spans="1:10" x14ac:dyDescent="0.2">
      <c r="A203" s="427" t="s">
        <v>601</v>
      </c>
      <c r="B203" s="428"/>
      <c r="C203" s="428"/>
      <c r="D203" s="428"/>
      <c r="E203" s="428"/>
      <c r="F203" s="428"/>
      <c r="G203" s="428"/>
      <c r="H203" s="428"/>
      <c r="I203" s="428"/>
      <c r="J203" s="429"/>
    </row>
    <row r="204" spans="1:10" x14ac:dyDescent="0.2">
      <c r="A204" s="427" t="s">
        <v>601</v>
      </c>
      <c r="B204" s="428"/>
      <c r="C204" s="428"/>
      <c r="D204" s="428"/>
      <c r="E204" s="428"/>
      <c r="F204" s="428"/>
      <c r="G204" s="428"/>
      <c r="H204" s="428"/>
      <c r="I204" s="428"/>
      <c r="J204" s="429"/>
    </row>
    <row r="205" spans="1:10" x14ac:dyDescent="0.2">
      <c r="A205" s="427" t="s">
        <v>601</v>
      </c>
      <c r="B205" s="428"/>
      <c r="C205" s="428"/>
      <c r="D205" s="428"/>
      <c r="E205" s="428"/>
      <c r="F205" s="428"/>
      <c r="G205" s="428"/>
      <c r="H205" s="428"/>
      <c r="I205" s="428"/>
      <c r="J205" s="429"/>
    </row>
    <row r="207" spans="1:10" ht="25.5" x14ac:dyDescent="0.2">
      <c r="A207" s="430" t="s">
        <v>605</v>
      </c>
      <c r="B207" s="431"/>
      <c r="C207" s="431"/>
      <c r="D207" s="432"/>
      <c r="E207" s="430" t="s">
        <v>599</v>
      </c>
      <c r="F207" s="431"/>
      <c r="G207" s="431"/>
      <c r="H207" s="431"/>
      <c r="I207" s="431"/>
      <c r="J207" s="432"/>
    </row>
    <row r="208" spans="1:10" x14ac:dyDescent="0.2">
      <c r="A208" s="427" t="s">
        <v>601</v>
      </c>
      <c r="B208" s="428"/>
      <c r="C208" s="428"/>
      <c r="D208" s="428"/>
      <c r="E208" s="428"/>
      <c r="F208" s="428"/>
      <c r="G208" s="428"/>
      <c r="H208" s="428"/>
      <c r="I208" s="428"/>
      <c r="J208" s="429"/>
    </row>
    <row r="209" spans="1:10" x14ac:dyDescent="0.2">
      <c r="A209" s="427" t="s">
        <v>601</v>
      </c>
      <c r="B209" s="428"/>
      <c r="C209" s="428"/>
      <c r="D209" s="428"/>
      <c r="E209" s="428"/>
      <c r="F209" s="428"/>
      <c r="G209" s="428"/>
      <c r="H209" s="428"/>
      <c r="I209" s="428"/>
      <c r="J209" s="429"/>
    </row>
    <row r="210" spans="1:10" x14ac:dyDescent="0.2">
      <c r="A210" s="427" t="s">
        <v>601</v>
      </c>
      <c r="B210" s="428"/>
      <c r="C210" s="428"/>
      <c r="D210" s="428"/>
      <c r="E210" s="428"/>
      <c r="F210" s="428"/>
      <c r="G210" s="428"/>
      <c r="H210" s="428"/>
      <c r="I210" s="428"/>
      <c r="J210" s="429"/>
    </row>
    <row r="211" spans="1:10" x14ac:dyDescent="0.2">
      <c r="A211" s="427" t="s">
        <v>601</v>
      </c>
      <c r="B211" s="428"/>
      <c r="C211" s="428"/>
      <c r="D211" s="428"/>
      <c r="E211" s="428"/>
      <c r="F211" s="428"/>
      <c r="G211" s="428"/>
      <c r="H211" s="428"/>
      <c r="I211" s="428"/>
      <c r="J211" s="429"/>
    </row>
    <row r="212" spans="1:10" x14ac:dyDescent="0.2">
      <c r="A212" s="427" t="s">
        <v>601</v>
      </c>
      <c r="B212" s="428"/>
      <c r="C212" s="428"/>
      <c r="D212" s="428"/>
      <c r="E212" s="428"/>
      <c r="F212" s="428"/>
      <c r="G212" s="428"/>
      <c r="H212" s="428"/>
      <c r="I212" s="428"/>
      <c r="J212" s="429"/>
    </row>
    <row r="214" spans="1:10" ht="25.5" x14ac:dyDescent="0.2">
      <c r="A214" s="430" t="s">
        <v>606</v>
      </c>
      <c r="B214" s="431"/>
      <c r="C214" s="431"/>
      <c r="D214" s="432"/>
      <c r="E214" s="430" t="s">
        <v>599</v>
      </c>
      <c r="F214" s="431"/>
      <c r="G214" s="431"/>
      <c r="H214" s="431"/>
      <c r="I214" s="431"/>
      <c r="J214" s="432"/>
    </row>
    <row r="215" spans="1:10" x14ac:dyDescent="0.2">
      <c r="A215" s="427" t="s">
        <v>601</v>
      </c>
      <c r="B215" s="428"/>
      <c r="C215" s="428"/>
      <c r="D215" s="428"/>
      <c r="E215" s="428"/>
      <c r="F215" s="428"/>
      <c r="G215" s="428"/>
      <c r="H215" s="428"/>
      <c r="I215" s="428"/>
      <c r="J215" s="429"/>
    </row>
    <row r="216" spans="1:10" x14ac:dyDescent="0.2">
      <c r="A216" s="427" t="s">
        <v>601</v>
      </c>
      <c r="B216" s="428"/>
      <c r="C216" s="428"/>
      <c r="D216" s="428"/>
      <c r="E216" s="428"/>
      <c r="F216" s="428"/>
      <c r="G216" s="428"/>
      <c r="H216" s="428"/>
      <c r="I216" s="428"/>
      <c r="J216" s="429"/>
    </row>
    <row r="217" spans="1:10" x14ac:dyDescent="0.2">
      <c r="A217" s="427" t="s">
        <v>601</v>
      </c>
      <c r="B217" s="428"/>
      <c r="C217" s="428"/>
      <c r="D217" s="428"/>
      <c r="E217" s="428"/>
      <c r="F217" s="428"/>
      <c r="G217" s="428"/>
      <c r="H217" s="428"/>
      <c r="I217" s="428"/>
      <c r="J217" s="429"/>
    </row>
    <row r="218" spans="1:10" x14ac:dyDescent="0.2">
      <c r="A218" s="427" t="s">
        <v>601</v>
      </c>
      <c r="B218" s="428"/>
      <c r="C218" s="428"/>
      <c r="D218" s="428"/>
      <c r="E218" s="428"/>
      <c r="F218" s="428"/>
      <c r="G218" s="428"/>
      <c r="H218" s="428"/>
      <c r="I218" s="428"/>
      <c r="J218" s="429"/>
    </row>
    <row r="219" spans="1:10" x14ac:dyDescent="0.2">
      <c r="A219" s="427" t="s">
        <v>601</v>
      </c>
      <c r="B219" s="428"/>
      <c r="C219" s="428"/>
      <c r="D219" s="428"/>
      <c r="E219" s="428"/>
      <c r="F219" s="428"/>
      <c r="G219" s="428"/>
      <c r="H219" s="428"/>
      <c r="I219" s="428"/>
      <c r="J219" s="429"/>
    </row>
  </sheetData>
  <mergeCells count="128">
    <mergeCell ref="A218:J218"/>
    <mergeCell ref="A219:J219"/>
    <mergeCell ref="A214:D214"/>
    <mergeCell ref="E214:J214"/>
    <mergeCell ref="A215:J215"/>
    <mergeCell ref="A216:J216"/>
    <mergeCell ref="A217:J217"/>
    <mergeCell ref="A208:J208"/>
    <mergeCell ref="A209:J209"/>
    <mergeCell ref="A210:J210"/>
    <mergeCell ref="A211:J211"/>
    <mergeCell ref="A212:J212"/>
    <mergeCell ref="A202:J202"/>
    <mergeCell ref="A203:J203"/>
    <mergeCell ref="A204:J204"/>
    <mergeCell ref="A205:J205"/>
    <mergeCell ref="A207:D207"/>
    <mergeCell ref="E207:J207"/>
    <mergeCell ref="A197:J197"/>
    <mergeCell ref="A198:J198"/>
    <mergeCell ref="A200:D200"/>
    <mergeCell ref="E200:J200"/>
    <mergeCell ref="A201:J201"/>
    <mergeCell ref="A193:D193"/>
    <mergeCell ref="E193:J193"/>
    <mergeCell ref="A194:J194"/>
    <mergeCell ref="A195:J195"/>
    <mergeCell ref="A196:J196"/>
    <mergeCell ref="A187:J187"/>
    <mergeCell ref="A188:J188"/>
    <mergeCell ref="A189:J189"/>
    <mergeCell ref="A190:J190"/>
    <mergeCell ref="A191:J191"/>
    <mergeCell ref="A181:J181"/>
    <mergeCell ref="A182:J182"/>
    <mergeCell ref="A183:J183"/>
    <mergeCell ref="A184:J184"/>
    <mergeCell ref="A186:D186"/>
    <mergeCell ref="E186:J186"/>
    <mergeCell ref="A177:J177"/>
    <mergeCell ref="A178:D178"/>
    <mergeCell ref="E178:J178"/>
    <mergeCell ref="A179:J179"/>
    <mergeCell ref="A180:J180"/>
    <mergeCell ref="E152:G152"/>
    <mergeCell ref="A152:B152"/>
    <mergeCell ref="A158:B158"/>
    <mergeCell ref="C158:D158"/>
    <mergeCell ref="E158:G158"/>
    <mergeCell ref="A154:B155"/>
    <mergeCell ref="A157:B157"/>
    <mergeCell ref="C115:H115"/>
    <mergeCell ref="C125:H125"/>
    <mergeCell ref="C138:D138"/>
    <mergeCell ref="D139:G139"/>
    <mergeCell ref="A121:J121"/>
    <mergeCell ref="A122:J122"/>
    <mergeCell ref="A133:J133"/>
    <mergeCell ref="A134:J134"/>
    <mergeCell ref="A132:J132"/>
    <mergeCell ref="A131:J131"/>
    <mergeCell ref="C128:H128"/>
    <mergeCell ref="C8:H8"/>
    <mergeCell ref="C18:H18"/>
    <mergeCell ref="C28:H28"/>
    <mergeCell ref="C38:H38"/>
    <mergeCell ref="C48:H48"/>
    <mergeCell ref="C58:H58"/>
    <mergeCell ref="C68:H68"/>
    <mergeCell ref="C78:H78"/>
    <mergeCell ref="C88:H88"/>
    <mergeCell ref="A51:J51"/>
    <mergeCell ref="A52:J52"/>
    <mergeCell ref="A21:J21"/>
    <mergeCell ref="A22:J22"/>
    <mergeCell ref="A31:J31"/>
    <mergeCell ref="A32:J32"/>
    <mergeCell ref="C25:H25"/>
    <mergeCell ref="C35:H35"/>
    <mergeCell ref="C45:H45"/>
    <mergeCell ref="C98:H98"/>
    <mergeCell ref="C108:H108"/>
    <mergeCell ref="C118:H118"/>
    <mergeCell ref="C55:H55"/>
    <mergeCell ref="C65:H65"/>
    <mergeCell ref="A170:J174"/>
    <mergeCell ref="E141:H141"/>
    <mergeCell ref="F143:I143"/>
    <mergeCell ref="G144:J145"/>
    <mergeCell ref="A161:J161"/>
    <mergeCell ref="A164:J167"/>
    <mergeCell ref="A168:J168"/>
    <mergeCell ref="A169:J169"/>
    <mergeCell ref="A160:J160"/>
    <mergeCell ref="C148:H148"/>
    <mergeCell ref="C154:H154"/>
    <mergeCell ref="A148:B149"/>
    <mergeCell ref="A151:B151"/>
    <mergeCell ref="A162:J162"/>
    <mergeCell ref="A163:J163"/>
    <mergeCell ref="C152:D152"/>
    <mergeCell ref="E137:G137"/>
    <mergeCell ref="H137:J137"/>
    <mergeCell ref="H138:J138"/>
    <mergeCell ref="A2:J2"/>
    <mergeCell ref="A12:J12"/>
    <mergeCell ref="A1:J1"/>
    <mergeCell ref="A11:J11"/>
    <mergeCell ref="A42:J42"/>
    <mergeCell ref="A41:J41"/>
    <mergeCell ref="C5:H5"/>
    <mergeCell ref="C15:H15"/>
    <mergeCell ref="A112:J112"/>
    <mergeCell ref="A61:J61"/>
    <mergeCell ref="A62:J62"/>
    <mergeCell ref="A71:J71"/>
    <mergeCell ref="A72:J72"/>
    <mergeCell ref="A81:J81"/>
    <mergeCell ref="A82:J82"/>
    <mergeCell ref="A91:J91"/>
    <mergeCell ref="A92:J92"/>
    <mergeCell ref="A101:J101"/>
    <mergeCell ref="A102:J102"/>
    <mergeCell ref="A111:J111"/>
    <mergeCell ref="C105:H105"/>
    <mergeCell ref="C75:H75"/>
    <mergeCell ref="C85:H85"/>
    <mergeCell ref="C95:H95"/>
  </mergeCells>
  <pageMargins left="0.51181102362204722" right="0" top="0.39370078740157483" bottom="0.59055118110236227" header="0.31496062992125984" footer="0.31496062992125984"/>
  <pageSetup paperSize="9" scale="80" orientation="landscape" r:id="rId1"/>
  <rowBreaks count="5" manualBreakCount="5">
    <brk id="31" max="9" man="1"/>
    <brk id="61" max="16383" man="1"/>
    <brk id="91" max="9" man="1"/>
    <brk id="120" max="9" man="1"/>
    <brk id="147"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O18"/>
  <sheetViews>
    <sheetView topLeftCell="A7" workbookViewId="0">
      <selection activeCell="O11" sqref="O11"/>
    </sheetView>
  </sheetViews>
  <sheetFormatPr defaultColWidth="8.7421875" defaultRowHeight="15.95" customHeight="1" x14ac:dyDescent="0.2"/>
  <cols>
    <col min="1" max="1" width="8.7421875" style="1"/>
    <col min="2" max="4" width="0" style="1" hidden="1" customWidth="1"/>
    <col min="5" max="5" width="8.7421875" style="1"/>
    <col min="6" max="6" width="0" style="1" hidden="1" customWidth="1"/>
    <col min="7" max="16384" width="8.7421875" style="1"/>
  </cols>
  <sheetData>
    <row r="9" spans="1:15" ht="15.95" customHeight="1" x14ac:dyDescent="0.2">
      <c r="D9" s="1">
        <v>124.084</v>
      </c>
      <c r="H9" s="1">
        <v>11022</v>
      </c>
      <c r="I9" s="1">
        <v>114.57899999999999</v>
      </c>
      <c r="M9" s="1">
        <v>5921</v>
      </c>
      <c r="O9" s="1">
        <v>83980</v>
      </c>
    </row>
    <row r="10" spans="1:15" ht="15.95" customHeight="1" x14ac:dyDescent="0.2">
      <c r="D10" s="1">
        <v>117.46</v>
      </c>
      <c r="H10" s="1">
        <v>11768</v>
      </c>
      <c r="I10" s="1">
        <v>106.992</v>
      </c>
      <c r="M10" s="1">
        <v>7217</v>
      </c>
      <c r="O10" s="1">
        <v>77723</v>
      </c>
    </row>
    <row r="11" spans="1:15" ht="15.95" customHeight="1" x14ac:dyDescent="0.2">
      <c r="D11" s="1">
        <f>D9/D10-1</f>
        <v>5.6393665928826886E-2</v>
      </c>
      <c r="H11" s="234">
        <f>H9/H10-1</f>
        <v>-6.3392250169952424E-2</v>
      </c>
      <c r="I11" s="234">
        <f>I9/I10-1</f>
        <v>7.0911843876177549E-2</v>
      </c>
      <c r="M11" s="1">
        <f>M9/M10-1</f>
        <v>-0.17957600110849381</v>
      </c>
      <c r="O11" s="247">
        <f>O9/O10-1</f>
        <v>8.0503840561995776E-2</v>
      </c>
    </row>
    <row r="13" spans="1:15" ht="15.95" customHeight="1" thickBot="1" x14ac:dyDescent="0.25"/>
    <row r="14" spans="1:15" ht="68.099999999999994" customHeight="1" thickBot="1" x14ac:dyDescent="0.25">
      <c r="A14" s="235" t="s">
        <v>639</v>
      </c>
      <c r="B14" s="235" t="s">
        <v>640</v>
      </c>
      <c r="C14" s="235" t="s">
        <v>641</v>
      </c>
      <c r="D14" s="235" t="s">
        <v>642</v>
      </c>
      <c r="E14" s="235" t="s">
        <v>643</v>
      </c>
      <c r="F14" s="235" t="s">
        <v>644</v>
      </c>
      <c r="G14" s="235" t="s">
        <v>645</v>
      </c>
      <c r="H14" s="235" t="s">
        <v>646</v>
      </c>
    </row>
    <row r="15" spans="1:15" ht="21.6" customHeight="1" thickTop="1" thickBot="1" x14ac:dyDescent="0.25">
      <c r="A15" s="245">
        <v>2017</v>
      </c>
      <c r="B15" s="236">
        <v>727254</v>
      </c>
      <c r="C15" s="236">
        <v>3766</v>
      </c>
      <c r="D15" s="237">
        <v>565</v>
      </c>
      <c r="E15" s="238">
        <v>0.15</v>
      </c>
      <c r="F15" s="236">
        <v>114701</v>
      </c>
      <c r="G15" s="237">
        <v>594</v>
      </c>
      <c r="H15" s="238">
        <v>0.15770000000000001</v>
      </c>
    </row>
    <row r="16" spans="1:15" ht="21.6" customHeight="1" thickBot="1" x14ac:dyDescent="0.25">
      <c r="A16" s="246">
        <v>2018</v>
      </c>
      <c r="B16" s="239">
        <v>805348</v>
      </c>
      <c r="C16" s="239">
        <v>4007</v>
      </c>
      <c r="D16" s="240">
        <v>559</v>
      </c>
      <c r="E16" s="241">
        <v>0.13950000000000001</v>
      </c>
      <c r="F16" s="239">
        <v>116821</v>
      </c>
      <c r="G16" s="240">
        <v>581</v>
      </c>
      <c r="H16" s="241">
        <v>0.14510000000000001</v>
      </c>
    </row>
    <row r="17" spans="1:8" ht="21.6" customHeight="1" thickBot="1" x14ac:dyDescent="0.25">
      <c r="A17" s="246">
        <v>2019</v>
      </c>
      <c r="B17" s="242">
        <v>905659</v>
      </c>
      <c r="C17" s="242">
        <v>4310</v>
      </c>
      <c r="D17" s="243">
        <v>558</v>
      </c>
      <c r="E17" s="244">
        <v>0.1295</v>
      </c>
      <c r="F17" s="242">
        <v>122615</v>
      </c>
      <c r="G17" s="243">
        <v>583</v>
      </c>
      <c r="H17" s="244">
        <v>0.13539999999999999</v>
      </c>
    </row>
    <row r="18" spans="1:8" ht="21.6" customHeight="1" thickBot="1" x14ac:dyDescent="0.25">
      <c r="A18" s="246">
        <v>2020</v>
      </c>
      <c r="B18" s="239">
        <v>868000</v>
      </c>
      <c r="C18" s="239">
        <v>4098</v>
      </c>
      <c r="D18" s="240">
        <v>555</v>
      </c>
      <c r="E18" s="241">
        <v>0.13539999999999999</v>
      </c>
      <c r="F18" s="239">
        <v>125443</v>
      </c>
      <c r="G18" s="240">
        <v>574</v>
      </c>
      <c r="H18" s="241">
        <v>0.14430000000000001</v>
      </c>
    </row>
  </sheetData>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Planilha3</vt:lpstr>
      <vt:lpstr>Planilha1</vt:lpstr>
      <vt:lpstr>Painel</vt:lpstr>
      <vt:lpstr>Planilha2</vt:lpstr>
      <vt:lpstr>Painel!Area_de_impressao</vt:lpstr>
      <vt:lpstr>Painel!Titulos_de_impressao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Funcia</dc:creator>
  <cp:lastModifiedBy>Francisco Funcia</cp:lastModifiedBy>
  <cp:lastPrinted>2020-08-31T15:38:05Z</cp:lastPrinted>
  <dcterms:created xsi:type="dcterms:W3CDTF">2020-08-30T02:47:16Z</dcterms:created>
  <dcterms:modified xsi:type="dcterms:W3CDTF">2020-11-27T19:21:00Z</dcterms:modified>
</cp:coreProperties>
</file>